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70" windowHeight="12000" tabRatio="798" firstSheet="10" activeTab="16"/>
  </bookViews>
  <sheets>
    <sheet name="1-ԱՄՓՈՓ" sheetId="1" r:id="rId1"/>
    <sheet name="2-ԸՆԴԱՄԵՆԸ ԾԱԽՍԵՐ" sheetId="2" r:id="rId2"/>
    <sheet name="3-Ծախսերի բացվածք" sheetId="3" r:id="rId3"/>
    <sheet name="4-փոստային կապ" sheetId="4" r:id="rId4"/>
    <sheet name="5-ԿԱՊ" sheetId="5" r:id="rId5"/>
    <sheet name="7-էլ-էներգիա" sheetId="6" r:id="rId6"/>
    <sheet name="9-գազով ջեռուցում" sheetId="7" r:id="rId7"/>
    <sheet name="10-գործուղում" sheetId="8" r:id="rId8"/>
    <sheet name="գործուղում 4222" sheetId="9" r:id="rId9"/>
    <sheet name="11-ավտոմեքենա" sheetId="10" r:id="rId10"/>
    <sheet name="12-վարչական սարքավորումներ" sheetId="11" r:id="rId11"/>
    <sheet name="14տարածքներ" sheetId="12" r:id="rId12"/>
    <sheet name="15ընթացիկ նորոգում" sheetId="13" r:id="rId13"/>
    <sheet name="16վերապատրաստում" sheetId="14" r:id="rId14"/>
    <sheet name="17կառուցվածք" sheetId="15" r:id="rId15"/>
    <sheet name="18հաստիքացուցակ պետ-ծառ" sheetId="16" r:id="rId16"/>
    <sheet name="31աշխատավարձի ֆոնդ" sheetId="17" r:id="rId17"/>
  </sheets>
  <externalReferences>
    <externalReference r:id="rId20"/>
  </externalReferences>
  <definedNames>
    <definedName name="_xlnm.Print_Titles" localSheetId="15">'18հաստիքացուցակ պետ-ծառ'!$4:$6</definedName>
    <definedName name="_xlnm.Print_Titles" localSheetId="1">'2-ԸՆԴԱՄԵՆԸ ԾԱԽՍԵՐ'!$6:$8</definedName>
  </definedNames>
  <calcPr fullCalcOnLoad="1" refMode="R1C1"/>
</workbook>
</file>

<file path=xl/comments5.xml><?xml version="1.0" encoding="utf-8"?>
<comments xmlns="http://schemas.openxmlformats.org/spreadsheetml/2006/main">
  <authors>
    <author>Marine Shishyan</author>
  </authors>
  <commentList>
    <comment ref="D34" authorId="0">
      <text>
        <r>
          <rPr>
            <b/>
            <sz val="9"/>
            <rFont val="Tahoma"/>
            <family val="2"/>
          </rPr>
          <t>տե՛ս ներքևում՝ հղում 2-ը
=E34+G34</t>
        </r>
      </text>
    </comment>
    <comment ref="D36" authorId="0">
      <text>
        <r>
          <rPr>
            <b/>
            <sz val="9"/>
            <rFont val="Tahoma"/>
            <family val="2"/>
          </rPr>
          <t>տե՛ս ներքևում՝ հղում 1-ը</t>
        </r>
      </text>
    </comment>
  </commentList>
</comments>
</file>

<file path=xl/sharedStrings.xml><?xml version="1.0" encoding="utf-8"?>
<sst xmlns="http://schemas.openxmlformats.org/spreadsheetml/2006/main" count="3370" uniqueCount="1460">
  <si>
    <t>.</t>
  </si>
  <si>
    <t>x</t>
  </si>
  <si>
    <t>I</t>
  </si>
  <si>
    <t>II</t>
  </si>
  <si>
    <t>III</t>
  </si>
  <si>
    <t>IY</t>
  </si>
  <si>
    <t>NN</t>
  </si>
  <si>
    <t>*</t>
  </si>
  <si>
    <t xml:space="preserve">Ձև N  1 </t>
  </si>
  <si>
    <t>Կառավարման  ապարատ</t>
  </si>
  <si>
    <t xml:space="preserve">Հայտատուի  անվանումը </t>
  </si>
  <si>
    <t>բյուջետային  հայտ</t>
  </si>
  <si>
    <t>Ծառայողական  ավտոմեքենաների  քանակը</t>
  </si>
  <si>
    <t>ԸՆԴԱՄԵՆԸ  ԾԱԽՍԵՐ</t>
  </si>
  <si>
    <t xml:space="preserve">Ձև N  2 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</si>
  <si>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</si>
  <si>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</si>
  <si>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</si>
  <si>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</si>
  <si>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</si>
  <si>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</si>
  <si>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</si>
  <si>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</si>
  <si>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</si>
  <si>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</si>
  <si>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</si>
  <si>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</si>
  <si>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</si>
  <si>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</si>
  <si>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</si>
  <si>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</si>
  <si>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</si>
  <si>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</si>
  <si>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</si>
  <si>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</si>
  <si>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</si>
  <si>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</si>
  <si>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</si>
  <si>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</si>
  <si>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</si>
  <si>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</si>
  <si>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</si>
  <si>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</si>
  <si>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</si>
  <si>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</si>
  <si>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</si>
  <si>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</si>
  <si>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</si>
  <si>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</si>
  <si>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</si>
  <si>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</si>
  <si>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</si>
  <si>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</si>
  <si>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</si>
  <si>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</si>
  <si>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</si>
  <si>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</si>
  <si>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</si>
  <si>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>Հ Ա Շ Վ Ա Ր Կ</t>
  </si>
  <si>
    <t>Ղեկավարի խորհրդական</t>
  </si>
  <si>
    <t>Ղեկավարի օգնական</t>
  </si>
  <si>
    <t>Ղեկավարի մամուլի քարտուղար</t>
  </si>
  <si>
    <t>Ընդամենը</t>
  </si>
  <si>
    <t>հ/հ</t>
  </si>
  <si>
    <t>Հ/Հ</t>
  </si>
  <si>
    <t>Այդ թվում`</t>
  </si>
  <si>
    <t>Ձև N 7</t>
  </si>
  <si>
    <t>Ինտերնետ</t>
  </si>
  <si>
    <t>Համակար     գիչների քանակը  (հատ)</t>
  </si>
  <si>
    <t xml:space="preserve">Հզորությունը </t>
  </si>
  <si>
    <t>Շահագործ  ման ժամերի տարեկան քանակը</t>
  </si>
  <si>
    <t>Շենքերի և շինություն ների մակերեսը (քառ/մետր)</t>
  </si>
  <si>
    <t>Տարեկան ծախսի նորմը (կվտ.ժ)</t>
  </si>
  <si>
    <t>Ընդամենը  տարեկան ծախսի նորմը (կվտ.ժ)</t>
  </si>
  <si>
    <t>Ընդամենը էլեկտրաէներ  գիայի ծախս               (հազ. դրամ)</t>
  </si>
  <si>
    <t xml:space="preserve"> Այլ հատուկ սարքեր /վերելակներ, ներքին հեռախոսակայաններ, արտաքին լուսավորություն և այլն/</t>
  </si>
  <si>
    <t>Լուսավորության և կենցաղային սարքերի ծախսի, առանց օդի լավորակման դեպքում` շենքերի և շինությունների 1 քառ/մետր մակերեսի համար</t>
  </si>
  <si>
    <t>Համակարգիչների` 1 հատի համար, որը ներառում է տպիչ սարքերի և այլ կազմտեխնիկայի ծախսը, 8-ժամյա աշխատանքային օրվա համար</t>
  </si>
  <si>
    <t>այդ թվում`</t>
  </si>
  <si>
    <t>Ձև N 9</t>
  </si>
  <si>
    <t>Բնակավայրը</t>
  </si>
  <si>
    <t>այդ թվում` զբաղեցրած տարածքի ծավալը (խոր. մետր)</t>
  </si>
  <si>
    <t xml:space="preserve">քար </t>
  </si>
  <si>
    <t>Ձև N 10</t>
  </si>
  <si>
    <t>Շենքի տեսակը  (քար / պանելային,  միաձույլ)</t>
  </si>
  <si>
    <t xml:space="preserve">Շենքի ընդհանուր ծավալը (խոր/մետր) հաշվարկված արտաքին չափերով </t>
  </si>
  <si>
    <t>Ջերմային էներգիայի տարեկան ծախսի նորմը                   (Գկալ/ խոր.մետր)</t>
  </si>
  <si>
    <t>Ընդամենը  տարեկան ծախսի նորմը (Գկալ/ խոր.մետր)</t>
  </si>
  <si>
    <t xml:space="preserve"> Բնական գազով աշխատող կաթսաներ (խոր/մետր)</t>
  </si>
  <si>
    <t>Բնական գազով աշխատող անհատական ջեռուցիչ սարքեր, վառարաններ</t>
  </si>
  <si>
    <t>Հեղուկ վառելիք անհատական ջեռուցիչ սարքերի, վառարանների համար (կգ)</t>
  </si>
  <si>
    <t>Ընդամենը  տարեկան ծախս          (Գկալ/ խոր.մետր)</t>
  </si>
  <si>
    <t>Սակագինը (հազ. դրամ)</t>
  </si>
  <si>
    <t>Ընդամենը ջեռուցման  ծախս                        (հազ. դրամ)</t>
  </si>
  <si>
    <t>պանելային,  միաձույլ</t>
  </si>
  <si>
    <t>ՀՀ կառավարության 2005 թվականի ապրիլի 28-ի N 629-Ն որոշման պահանջներին համապատասխան:</t>
  </si>
  <si>
    <t>N 1,2 և 3 ձևերը լրացվում են`</t>
  </si>
  <si>
    <t>Ձև N 11</t>
  </si>
  <si>
    <t>Տ Ե Ղ Ե Կ Ա Ն Ք</t>
  </si>
  <si>
    <t xml:space="preserve">հազ. դրամ </t>
  </si>
  <si>
    <t>Գործուղման վայրեր</t>
  </si>
  <si>
    <t>Գործուղման տևողությունը</t>
  </si>
  <si>
    <t>Գործուղման մեկնողների թիվը</t>
  </si>
  <si>
    <t>Օրապահիկ</t>
  </si>
  <si>
    <t>Վճարը 1 օրվա համար</t>
  </si>
  <si>
    <t>Ճանապարհածախսը  1 անձի համար մեկ ուղղությամբ</t>
  </si>
  <si>
    <t>Ընդամենը ծախսեր</t>
  </si>
  <si>
    <t>Գիշերավարձ</t>
  </si>
  <si>
    <t>Ճանապարհածախս              1 անձի համար մեկ ուղղությամբ</t>
  </si>
  <si>
    <t>Քանակը</t>
  </si>
  <si>
    <t>Մեկ միավորի գինը     /հազ.  դրամ/</t>
  </si>
  <si>
    <t>Ընդամենը ծախսեր /հազ.  դրամ/</t>
  </si>
  <si>
    <t xml:space="preserve">Այդ թվում` </t>
  </si>
  <si>
    <t>Չափի միավորը</t>
  </si>
  <si>
    <t>Ձեռքբեր ման  տարեթիվը</t>
  </si>
  <si>
    <t>Սկզբնական արժեքը   /հազ.դրամ/</t>
  </si>
  <si>
    <t xml:space="preserve">ՙ'Հայաստանի Հանրապետության պետական մարմինների գծով Հայաստանի Հանրապետության պետական բյուջեի նախագծում բյուջետային ծախսերի առանձին տեսակների` ջեռուցման, վառելիքի և էլեկտրաէներգիայի ձեռք բերման ծավալների հաշվարկման հիմքում դրվող նորմաները հաստատելու մասին՚ </t>
  </si>
  <si>
    <t>Ձև N 15</t>
  </si>
  <si>
    <t>Կառուցվածքային ստորաբաժանումների անվանումը</t>
  </si>
  <si>
    <t>Հաստիքային միավորների թիվը</t>
  </si>
  <si>
    <t xml:space="preserve">Վարչություններ </t>
  </si>
  <si>
    <t>Բաժիններ</t>
  </si>
  <si>
    <t>Ձև N 17</t>
  </si>
  <si>
    <t>/դրամ/</t>
  </si>
  <si>
    <t>Տարբերությունը</t>
  </si>
  <si>
    <t>Հաստիքային ցուցակի համեմատական</t>
  </si>
  <si>
    <t>Անուն, Ազգանուն</t>
  </si>
  <si>
    <t>Պաշտոնի անվանումը</t>
  </si>
  <si>
    <t>Պաշտոնի    կոդը</t>
  </si>
  <si>
    <t>Բարձր լեռնային վայրերում աշխատելու համար հավելում</t>
  </si>
  <si>
    <t xml:space="preserve">Ըստ հաստատված կառուցվածքային ստորաբաժանումների </t>
  </si>
  <si>
    <t>Վարչություն /բաժին/</t>
  </si>
  <si>
    <t>Ընդամենը ըստ ստորաբաժանման</t>
  </si>
  <si>
    <t>Ընդամենը  ըստ  պետական կառավարման  մարմնի</t>
  </si>
  <si>
    <t>Հաստիքային ցուցակը կազմել ըստ հաստատված կառուցվածքային ստորաբաժանումների</t>
  </si>
  <si>
    <t>Ձև N 18</t>
  </si>
  <si>
    <t xml:space="preserve">Սահմանվող պաշտոնային դրույքաչափը </t>
  </si>
  <si>
    <t xml:space="preserve">Ընդամենը ամսական աշխատա վարձի ֆոնդ  </t>
  </si>
  <si>
    <t xml:space="preserve">Ընդամենը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</si>
  <si>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</si>
  <si>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</si>
  <si>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</si>
  <si>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</si>
  <si>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</si>
  <si>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</si>
  <si>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</si>
  <si>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</si>
  <si>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</si>
  <si>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</si>
  <si>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 xml:space="preserve">Հիմնավորումներ 8-րդ սյունակում ներկայացված փոփոխությունների վերաբերյալ  </t>
  </si>
  <si>
    <t xml:space="preserve">Հաստիքային միավորների թիվը </t>
  </si>
  <si>
    <t xml:space="preserve">Ամսական աշխատա    վարձի ֆոնդ    </t>
  </si>
  <si>
    <t xml:space="preserve">Ընդամենը տարեկան աշխատա վարձի ֆոնդ  </t>
  </si>
  <si>
    <t>…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</si>
  <si>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</si>
  <si>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</si>
  <si>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</si>
  <si>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Ց Ա Ն Կ</t>
  </si>
  <si>
    <t xml:space="preserve">Հայեցողական պաշտոններ </t>
  </si>
  <si>
    <t>IV</t>
  </si>
  <si>
    <t xml:space="preserve">Ընդամենը աշխատողների թվաքանակը </t>
  </si>
  <si>
    <t>Քաղաքացիական /պետական, դատական, հատուկ/ ծառայողներ</t>
  </si>
  <si>
    <t>Աշխատավարձի ֆոնդի հաշվարկ</t>
  </si>
  <si>
    <t>Ձև N 16</t>
  </si>
  <si>
    <t xml:space="preserve"> /հազ. դրամ/</t>
  </si>
  <si>
    <t>/հազ. դրամ/</t>
  </si>
  <si>
    <t>Զբաղեցվող տարածքի գտնվելու հասցեն</t>
  </si>
  <si>
    <t>Ընդամենը՝</t>
  </si>
  <si>
    <t>Տարեկան վարձավճարի գումարը                   (հազ դրամ)</t>
  </si>
  <si>
    <t>Տարածքը (քառ մետր)</t>
  </si>
  <si>
    <t>Պետական մարմնի ստորաբաժանման անվանումը, որի կողմից զբաղեցված է համապատասխան տարածքը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</si>
  <si>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</si>
  <si>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</si>
  <si>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</si>
  <si>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</si>
  <si>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</si>
  <si>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</si>
  <si>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>Գազով ջեռուցման ծառայություններ</t>
  </si>
  <si>
    <t>Բյուջետային ծախսերի տնտեսագիտական դասակարգման հոդվածի անվանումը</t>
  </si>
  <si>
    <t>Ձև N 5</t>
  </si>
  <si>
    <t>հոդվածի կոդը</t>
  </si>
  <si>
    <t>Ձև N 3</t>
  </si>
  <si>
    <t>ՎԱՐՁԱԿԱԼՈՒԹՅԱՄԲ</t>
  </si>
  <si>
    <t>ՍԵՓԱԿԱՆՈՒԹՅԱՆ ԻՐԱՎՈՒՆՔՈՎ</t>
  </si>
  <si>
    <t xml:space="preserve">ԱՆՀԱՏՈՒՅՑ ՕԳՏԱԳՈՐԾՄԱՆ </t>
  </si>
  <si>
    <t>Տարածքը զբաղեցնելու իրավական հիմքը (համապատասխան իրավական ակտի, Վարձակալության պայմանագրի կամ սեփականության վկայականի համարը)</t>
  </si>
  <si>
    <t>լրացնել ապրանքի կամ ծառայության նկարագրությունը</t>
  </si>
  <si>
    <t>Ծառայողական գործուղումների գծով ծախսեր</t>
  </si>
  <si>
    <t xml:space="preserve">Տվյալ տարածքում վճարման ենթակա ընդամենը կոմունալ ծախսը                  </t>
  </si>
  <si>
    <t>Էլեկտրաէներգիա (լուսավորություն)  /հազ դրամ/</t>
  </si>
  <si>
    <t>Էլեկտրաէներգիա (ջեռուցում)           /հազ դրամ/</t>
  </si>
  <si>
    <t>Գազ (ջեռուցում)          /հազ դրամ/</t>
  </si>
  <si>
    <t>Ջուր                   /հազ դրամ/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</si>
  <si>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</si>
  <si>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</si>
  <si>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</si>
  <si>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</si>
  <si>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</si>
  <si>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</si>
  <si>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</si>
  <si>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</si>
  <si>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 xml:space="preserve"> այդ թվում`</t>
  </si>
  <si>
    <t>(միջոցառման անվանումը)</t>
  </si>
  <si>
    <t xml:space="preserve">Բյուջետային ծախսերի տնտեսագիտական դասակարգման մյուս հոդվածների գծով ավելացնել նոր տողեր՝ ըստ անհրաժեշտության </t>
  </si>
  <si>
    <t>Պետական հատվածի տարբեր մակարդակների կողմից միմյանց նկատմամբ կիրառվող տույժեր</t>
  </si>
  <si>
    <t>Գլխավոր քարտուղար</t>
  </si>
  <si>
    <t xml:space="preserve">Կառուցվածքային ստորաբաժանումներ՝  </t>
  </si>
  <si>
    <t xml:space="preserve">այդ թվում` </t>
  </si>
  <si>
    <t>Հիմնական մասնագիտական կառուցվածքային ստորաբաժանումներ</t>
  </si>
  <si>
    <t>2)</t>
  </si>
  <si>
    <t>1)</t>
  </si>
  <si>
    <t>Աջակցող մասնագիտական կառուցվածքային ստորաբաժանումներ</t>
  </si>
  <si>
    <t>Գրասենյակ, գործակալություն</t>
  </si>
  <si>
    <t xml:space="preserve">Ղեկավար պաշտոններ </t>
  </si>
  <si>
    <t>ՀՀ կառավարության  2014թ. հուլիսի 3-ի «Պետական իշխանության մարմիններում քաղաքացիական աշխատանք կատարող և տեխնիկական սպասարկում իրականացնող անձանց պաշտոնային դրույքաչափերը սահմանելու մասին» N 737-Ն որոշում</t>
  </si>
  <si>
    <t>«Պետական պաշտոններ և պետական ծառայության պաշտոններ զբաղեցնող անձանց վարձատրության մասին» ՀՀ օրենք</t>
  </si>
  <si>
    <t xml:space="preserve">Քաղաքացիական աշխատանք կատարող և տեխնիկական սպասարկում իրականացնող անձնակազմ </t>
  </si>
  <si>
    <t>Քաղաքացիական աշխատանք կատարող և տեխնիկական սպասարկում իրականացնող անձնակազմ</t>
  </si>
  <si>
    <t xml:space="preserve"> Բյուջետային հատկացումների ծրագրերի և միջոցառումների անվանումները</t>
  </si>
  <si>
    <t>Հայեցողական պաշտոններ /խորհրդական, օգնական, մամուլի քարտուղար/</t>
  </si>
  <si>
    <t>Մարմնի ղեկավար</t>
  </si>
  <si>
    <t>Լուսավորության և կենցաղային սարքերի ծախսի, օդի լավորակման դեպքում` շենքերի և շինությունների 1քառ/մետր մակերեսի համար</t>
  </si>
  <si>
    <t xml:space="preserve">Ծրագրի վրա կատարվող ծախսը </t>
  </si>
  <si>
    <t>(հազար դրամ)</t>
  </si>
  <si>
    <t xml:space="preserve">Միջոցառման վրա կատարվող ծախսը - ընթացիկ ծախսեր </t>
  </si>
  <si>
    <t>Գործուղման նպատակը</t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</si>
  <si>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</si>
  <si>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</si>
  <si>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</si>
  <si>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</si>
  <si>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2023թ.</t>
  </si>
  <si>
    <t>Վարձակալությամբ/ենթավարձակալությամբ գույքը հանձնող սուբյեկտի անվանումը՝ ըստ  պայմանագրի</t>
  </si>
  <si>
    <t>2024թ.</t>
  </si>
  <si>
    <t>Տվյալ պաշտոնում աշխատանքային ստաժը /2024թ. հուլիսի 1-ի դրությամբ/  (տարի/ամիս)</t>
  </si>
  <si>
    <t xml:space="preserve">Գործակից /2024թ. հուլիսի 1-ի դրությամբ/  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</si>
  <si>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</si>
  <si>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</si>
  <si>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</si>
  <si>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</si>
  <si>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2025թ. բյուջետային  հայտ</t>
  </si>
  <si>
    <t>2025թ.</t>
  </si>
  <si>
    <t xml:space="preserve">2025թ. </t>
  </si>
  <si>
    <t>Տվյալ պաշտոնում աշխատանքային ստաժը /2025թ. հուլիսի 1-ի դրությամբ/  (տարի/ամիս)</t>
  </si>
  <si>
    <t xml:space="preserve">Գործակից /2025թ. հուլիսի 1-ի դրությամբ/  </t>
  </si>
  <si>
    <t>Ձև N 14</t>
  </si>
  <si>
    <t>ՀԱՇՎԱՐԿ</t>
  </si>
  <si>
    <t>Վերապատրաստվողների թիվը                                                   (մարդ)</t>
  </si>
  <si>
    <t>Ընդամենը (հազար դրամ)</t>
  </si>
  <si>
    <t>Ա</t>
  </si>
  <si>
    <t>Ձև N 31</t>
  </si>
  <si>
    <t>Մեկ ժամի վերապատրաստման արժեքը                                        (դրամ)</t>
  </si>
  <si>
    <t>Յուրաքանչյուր դասընթացի ծավալը (ժամ)</t>
  </si>
  <si>
    <t>Դասընթացի նկարագրությունը</t>
  </si>
  <si>
    <t>դասընթաց 1</t>
  </si>
  <si>
    <t>դասընթաց 2</t>
  </si>
  <si>
    <t>Շինության տարածքը (քառ մետր)</t>
  </si>
  <si>
    <t>Il. ԸՆԹԱՑԻԿ, ՄԻՋԻՆ ՆՈՐՈԳՄԱՆ, ԸՆԹԱՑԻԿ ՊԱՀՊԱՆՄԱՆ ԵՎ ՆԵՐՔԻՆ ՀԱՐԴԱՐՄԱՆ ԱՇԽԱՏԱՆՔՆԵՐԸ</t>
  </si>
  <si>
    <t xml:space="preserve">Տվյալ տարածքում կատարվելիք ընթացիկ նորոգման և պահպանման աշխատանքները,
հիմքը՝ ՀՀ կառավարության 2015թ. մարտի 19-ի N 596-Ն որոշման N 4 հավելվածի Ցանկ N 1           </t>
  </si>
  <si>
    <t>ՆԱԽԱՀԱՇՎԱՅԻՆ ԳԻՆԸ</t>
  </si>
  <si>
    <t>Պետական մարմնի ստորաբաժանման անվանումը, որի կողմից զբաղեցվում է համապատասխան տարածքը</t>
  </si>
  <si>
    <t xml:space="preserve">Տարածքը զբաղեցնելու իրավական հիմքը </t>
  </si>
  <si>
    <t>Զբաղեցվող շինության/տարածքի գտնվելու հասցեն</t>
  </si>
  <si>
    <t>Թերությունների ակտի և նախահաշվի առկայությունը (կցել առկայության դեպքում)*</t>
  </si>
  <si>
    <t>ՀՀ կառավարության 2015թ. մարտի 19-ի N 596-Ն որոշման N 4 հավելվածի Ցանկ N 1, կետ 2: 
2. Ընթացիկ նորոգման, ներքին հարդարման, ընթացիկ պահպանման և ընդհանուր օգտագործման տարածքներում բարեկարգման աշխատանքների կազմակերպման համար կարող է կատարվել շենքերի և շինությունների ուսումնասիրություն, կազմվել թերությունների մասին ակտ, աշխատանքների ցանկ և, անհրաժեշտության դեպքում, նախահաշիվ:</t>
  </si>
  <si>
    <t>4115</t>
  </si>
  <si>
    <t>- Այլ վարձատրություն</t>
  </si>
  <si>
    <t>Առկա դյուրակիր համակարգիչներ (լափթոփներ, նոութբուքեր). գրպանի ՊԴԱ (PDA) համակարգիչներ և համանման այլ համակարգչային սարքավորումներ), թիվը` ընդամենը</t>
  </si>
  <si>
    <t xml:space="preserve">Առկա համակարգիչների (ներառյալ` սեղանի (ստատիկ) համակարգիչների) թիվը` ընդամենը </t>
  </si>
  <si>
    <t>Մոնիտորներ և պրոյեկտորներ, թիվը` ընդամենը</t>
  </si>
  <si>
    <t>Նշված խմբում ընդգրկված այլ համակարգչային սարքեր, թիվը` ընդամենը</t>
  </si>
  <si>
    <t>Դաս</t>
  </si>
  <si>
    <t>Խումբ</t>
  </si>
  <si>
    <t>Տեսակ</t>
  </si>
  <si>
    <t>Օգտակար ծառայության ժամկետ</t>
  </si>
  <si>
    <t>(տարի)</t>
  </si>
  <si>
    <t>Գրասենյակային և տնտեսական գույք և պարագաներ, գործիքներ</t>
  </si>
  <si>
    <t>Համակարգիչներ (ներառյալ` սեղանի (ստատիկ) համակարգիչներ, դյուրակիր համակարգիչներ (լափթոփներ, նոութբուքեր). գրպանի ՊԴԱ (PDA) համակարգիչներ և համանման այլ համակարգչային սարքավորումներ)</t>
  </si>
  <si>
    <t>Համակարգչային սարքավորումներ և տեխնիկա (ներառյալ` մոնիտորներ և պրոյեկտորներ, օգտագործվող բացառապես տվյալների ավտոմատ մշակման համակարգերում, հիշող սարքեր, կիսահաղորդչային հիշող սարքեր, ապահովող տեղեկատվության պահպանումը հոսանքի անջատման դեպքում, տպիչ, համակարգչին կամ համակարգչային ցանցին միանալու հնարավորություն ունեցող պատճենահանող և ֆաքսիմիլային սարքեր` միավորված կամ չմիավորված և այլն)</t>
  </si>
  <si>
    <t>Այլ համակարգչային սարքավորումներ և տեխնիկա</t>
  </si>
  <si>
    <t>Հեռախոսներ (այդ թվում` բջջային), ռադիոհաղորդակցման սարքեր</t>
  </si>
  <si>
    <t>Համակարգչային սարքավորումներ/տեխնիկա</t>
  </si>
  <si>
    <t>Գրասենյակային և տնտեսական գույք</t>
  </si>
  <si>
    <t>Գրասենյակային էլեկտրական տեխնիկա (ներառյալ` հեռուստացույցներ, սառնարաններ, խմելու ջրի սարքեր, օդորակիչներ, տաքացուցիչներ, փոշեկուլներ, տեսախցիկներ, ֆոտոխցիկներ, տեղորոշիչ սարքեր (GPS) և այլն), այդ թվում՝</t>
  </si>
  <si>
    <t>Կահույք (ներառյալ` գրասեղաններ, սեղաններ, աթոռներ, բազկաթոռներ, փափուկ կահույք, զգեստապահարաններ, գրապահարաններ, գրադարակներ, չհրկիզվող պահարաններ և այլն), գորգեր, հայելիներ, այդ թվում՝</t>
  </si>
  <si>
    <t xml:space="preserve">Այլ գրասենյակային և տնտեսական գույք </t>
  </si>
  <si>
    <t>Հաշվեկշռային (մնացորդային)  արժեքը /հազ.դրամ/</t>
  </si>
  <si>
    <t>Մաշվածությունը (%)</t>
  </si>
  <si>
    <t>(ՀՀ ֆինանսների նախարարի 2016թ. հունվարի 8-ի «Հանրային հատվածի կազմակերպություններում նոր հիմնական միջոցների և սկզբնական արժեքով հաշվառվող կենսաբանական ակտիվների մաշվածության հաշվարկման նորմատիվային օգտակար ծառայության ժամկետները հաստատելու մասին» N 3-Ն հրաման, Հավելված 1)</t>
  </si>
  <si>
    <t>Առկա սարքավորումներ և գույք</t>
  </si>
  <si>
    <t>Ընդամենը տարեկան աշխատավարձի ֆոնդ (4111)</t>
  </si>
  <si>
    <t>այդ թվում թափուր հաստիքների թիվը</t>
  </si>
  <si>
    <t>2026թ. բյուջետային  հայտ</t>
  </si>
  <si>
    <t>2026թ.</t>
  </si>
  <si>
    <t>Հավելավճարներ/ հավելումներ</t>
  </si>
  <si>
    <t xml:space="preserve">2026թ. </t>
  </si>
  <si>
    <t xml:space="preserve">Ըստ պաշտոնային դրույքաչափի հաշվարկվող տարեկան աշխատավարձի ֆոնդ  </t>
  </si>
  <si>
    <t>Ընդամենը պարգևատրման ֆոնդ` 16 % (4112+4113)</t>
  </si>
  <si>
    <t>Պաշտոն զբաղեցնող անձի տարիքը (ծննդյան տարեթիվ)</t>
  </si>
  <si>
    <t>Տվյալ պաշտոնում աշխատանքային ստաժը /2026թ. հուլիսի 1-ի դրությամբ/  (տարի/ամիս)</t>
  </si>
  <si>
    <t xml:space="preserve">Գործակից /2026թ. հուլիսի 1-ի դրությամբ/  </t>
  </si>
  <si>
    <t>Այլ հավելավճարներ/հավելումներ</t>
  </si>
  <si>
    <t>Ընդամենը ամսական աշխատա վարձի ֆոնդ  /ս.16+ս.17+ս.18/</t>
  </si>
  <si>
    <t>Ընդամենը ամսական աշխատավարձի ֆոնդ  /ս.9+ս10+ս.11/</t>
  </si>
  <si>
    <t>Ընդամենը ամսական աշխատավարձի ֆոնդ</t>
  </si>
  <si>
    <t xml:space="preserve">Ընդամենը ամսական աշխատավարձի ֆոնդ </t>
  </si>
  <si>
    <t>Ընդամենը ամսական աշխատա վարձի ֆոնդ  /ս.21+ս.22+ս.23/</t>
  </si>
  <si>
    <t>Առկա ավտոմեքենաներ</t>
  </si>
  <si>
    <t>Նամակներ</t>
  </si>
  <si>
    <t>հասարակ</t>
  </si>
  <si>
    <t>Փաթեթներ</t>
  </si>
  <si>
    <t>ՆԱՄԱԿԱԳՐԱԿԱՆ ԹՂԹԱԿՑՈՒԹՅԱՆ ԱՌԱՔՈՒՄ</t>
  </si>
  <si>
    <t>Առաքանու տեսակը</t>
  </si>
  <si>
    <t>ԱՅԼ ՓՈՍՏԱՅԻՆ ԾԱՌԱՅՈՒԹՅՈՒՆ</t>
  </si>
  <si>
    <t>4.1.</t>
  </si>
  <si>
    <t>Սուրհանդակային</t>
  </si>
  <si>
    <t>/թվարկել այլ պայմանագրային փոստային ծառայությունները/</t>
  </si>
  <si>
    <t>Միջքաղաքային, բջջային, միջազգային խոսակցությունների վճար</t>
  </si>
  <si>
    <t>միջքաղաքային և դեպի բջջային ցանց ելից  խոսակցությունների ամսական սահմանաչափ</t>
  </si>
  <si>
    <t>միջազգային ելից հեռախոսային  խոսակցությունների ամսական սահմանաչափ</t>
  </si>
  <si>
    <t>Փոստային կապ</t>
  </si>
  <si>
    <t>Գրասենյակի (գործակալության) ղեկավար</t>
  </si>
  <si>
    <t>Գրասենյակ (գործակալություն)</t>
  </si>
  <si>
    <t>Ընդամենը տարեկան 
 ծախսեր (դրամ)</t>
  </si>
  <si>
    <t xml:space="preserve">ԸՆԴԱՄԵՆԸ </t>
  </si>
  <si>
    <t xml:space="preserve">Ընդամենը առկա ավտոմեքենաների քանակը` </t>
  </si>
  <si>
    <t>Հանրային իշխանության մարմնի կողմից զբաղեցված տարածքների</t>
  </si>
  <si>
    <t>ՀՀ հանրային իշխանության մարմնի կողմից զբաղեցված շինությունների/տարածքների ընթացիկ նորոգման աշխատանքներ</t>
  </si>
  <si>
    <t xml:space="preserve"> քաղաքացիական (պետական և այլ) ծառայողների մասնագիտական վերապատրաստումների գծով ծախսերի</t>
  </si>
  <si>
    <t>ՀՀ հանրային իշխանության մարմնի կառուցվածքի և աշխատողների թվի վերաբերյալ</t>
  </si>
  <si>
    <t>ՀՀ ֆինանսների նախարարի 08.01.2016թ. N 3-Ն հրամանի համաձայն մարդատար ավտոմեքենաների նորմատիվային օգտակար ծառայության ժամկետը սահմանված է 10 տարի</t>
  </si>
  <si>
    <t>Ընդամենը տարեկան 
 ծախսեր (դրամ) 
(ս.6 * ս.7)</t>
  </si>
  <si>
    <t>Ընդամենը տարեկան 
 ծախսեր (դրամ) 
(ս.9 * ս.10)</t>
  </si>
  <si>
    <t>Տարբերության հիմնավորումներ</t>
  </si>
  <si>
    <t xml:space="preserve">Սեփականության կամ անհատույց օգտագործման իրավունքով զբաղեցրած տարածքների մակերեսը </t>
  </si>
  <si>
    <r>
      <t>1մ</t>
    </r>
    <r>
      <rPr>
        <u val="single"/>
        <vertAlign val="superscript"/>
        <sz val="12"/>
        <rFont val="GHEA Grapalat"/>
        <family val="3"/>
      </rPr>
      <t>2</t>
    </r>
    <r>
      <rPr>
        <u val="single"/>
        <sz val="12"/>
        <rFont val="GHEA Grapalat"/>
        <family val="3"/>
      </rPr>
      <t>-ին՝ 800 դրամ սկզբունքով</t>
    </r>
  </si>
  <si>
    <t>Նամականիշներ</t>
  </si>
  <si>
    <t>մեկ առաքանու/ նամականիշի 
միջին սակագիը (ս.5 / ս.3)</t>
  </si>
  <si>
    <t xml:space="preserve">մեկ առաքանու/ նամականիշի 
միջին սակագիը </t>
  </si>
  <si>
    <t xml:space="preserve"> քանակը</t>
  </si>
  <si>
    <t xml:space="preserve">մեկ առաքանու/ նամականիշի  
միջին սակագիը </t>
  </si>
  <si>
    <t>Հայփոստ ՓԲԸ-ի կողմից մատուցվող փոստային կապի ունիվերսալ ծառայությունների սակագները հաստատվել են ՀԾԿՀ-ի 27.04.2022թ. N 165-Ն որոշմամբ (ուժի մեջ է 27.05.2022թ.)</t>
  </si>
  <si>
    <t>Պաշտոն զբաղեցնող անձի սեռը  (արական/ իգական)</t>
  </si>
  <si>
    <t>Միավորի գինը /դրամ/</t>
  </si>
  <si>
    <t xml:space="preserve">Ընդհանուր գումարը /հազ.դրամ/            </t>
  </si>
  <si>
    <t>Ձև N 4</t>
  </si>
  <si>
    <t>Նշել մարմնի կանոնադրությունը և  կառուցվածքը  հաստատելու մասին համապատասխան իրավական ակտի համարը և ընդունման ամսաթիվը</t>
  </si>
  <si>
    <t>Էլեկրականության բաշխում</t>
  </si>
  <si>
    <t>գազի բաշխում</t>
  </si>
  <si>
    <t>Հանրային հեռախոսային ծառայություններ</t>
  </si>
  <si>
    <t>Բջջային  հեռախոսների ծառայություններ</t>
  </si>
  <si>
    <t>Համացանցային ծառայություններ /ինտերնետ/</t>
  </si>
  <si>
    <t>Դոմենային անվանումներ</t>
  </si>
  <si>
    <t>Համացանցային էջերի հոստինգի  ծառայություններ</t>
  </si>
  <si>
    <t xml:space="preserve">Փոստային ծառայություններ կապված նամակների հետ </t>
  </si>
  <si>
    <t>Փոխադրամիջոցների հետ կապված ապահովագրական ծախսեր</t>
  </si>
  <si>
    <t>Ոչ բնակելի անշարժգույքի վարձակալության կամ լիզինգի ծառայություններ</t>
  </si>
  <si>
    <t>4221-4222</t>
  </si>
  <si>
    <t>Ներքին գործուղումներ</t>
  </si>
  <si>
    <t>Արտասահմանյան գործուղումների գծով ծխսեր</t>
  </si>
  <si>
    <t>Հակավիրուսային փաթեթ համակարգիչների համար</t>
  </si>
  <si>
    <t>Տեքստի մշակման համակարգչային ծրագրային փաթեթների մշակման ծառայություններ</t>
  </si>
  <si>
    <t>Ծրագրային ապահովման սպասարկման ծառայություն</t>
  </si>
  <si>
    <t>Տեխնիկական օժանդակության ծառայություններ</t>
  </si>
  <si>
    <t>Ծրագրային ապահովման սպասարկման ծառայություններ</t>
  </si>
  <si>
    <t>Համակարգչային սարքերի պահպանում և վերանորագման  ծառայություններ</t>
  </si>
  <si>
    <t>Պատվերով տպագրվող նյութեր</t>
  </si>
  <si>
    <t>Հարցումների արդյունքների վերլուծության ծառայություն</t>
  </si>
  <si>
    <t>Լաբարատոր հետազոտություններ</t>
  </si>
  <si>
    <t>Ներկայացուցչական ծառայություններ</t>
  </si>
  <si>
    <t>Գնում չհանդիսացող այլ ծառայություններ</t>
  </si>
  <si>
    <t>Շենքերի և կառույցների  ընթացիկ նորոգում և պահպանում</t>
  </si>
  <si>
    <t>Շենոերի,շինությունների ընթացիկ նորոգման աշխատանքնոև</t>
  </si>
  <si>
    <t>Ավտոմեքենաների պահպանման ծառայություններ</t>
  </si>
  <si>
    <t>Շենքերում տեղակայված էլեկտրական սարքերի վերանորոգման և պահպանման ծառայություններ</t>
  </si>
  <si>
    <t>Ներկայացուցչական ծախսեր</t>
  </si>
  <si>
    <t>Տոներային քարթրիջներ</t>
  </si>
  <si>
    <t>Ցանցային մալուխ</t>
  </si>
  <si>
    <t>Թանաք տպագրական սարքի համար</t>
  </si>
  <si>
    <t>Ցանցային բաժանարար</t>
  </si>
  <si>
    <t>Օպերատիվ հիշողության սարք/ram/</t>
  </si>
  <si>
    <t>Պլաստիկ քարտեր</t>
  </si>
  <si>
    <t>Վկայական</t>
  </si>
  <si>
    <t>Համակարգիչային մկնիկ,լարով</t>
  </si>
  <si>
    <t>Համակարգիչային ստեղնաշար</t>
  </si>
  <si>
    <t>Համակարգչի կոշտ սկավառակ</t>
  </si>
  <si>
    <t xml:space="preserve">  Թուղթ նշումների պլասմասի արկղով</t>
  </si>
  <si>
    <t xml:space="preserve">  Թուղթ նշումների, տրցակով</t>
  </si>
  <si>
    <t>Ռետին սովորական</t>
  </si>
  <si>
    <t>Գծանշիչ</t>
  </si>
  <si>
    <t>Շտրիխներ</t>
  </si>
  <si>
    <t>Գնդիկավոր գրիչ</t>
  </si>
  <si>
    <t>Մատիտներ</t>
  </si>
  <si>
    <t xml:space="preserve">Մատիտ մեխանիկական </t>
  </si>
  <si>
    <t>Գրենական պիտույքների հարմարանքներ և պարագաներ</t>
  </si>
  <si>
    <t>Լամինացիոն թաղանթ</t>
  </si>
  <si>
    <t xml:space="preserve">Թղթապանակ </t>
  </si>
  <si>
    <t xml:space="preserve">Թղթապանակ                          </t>
  </si>
  <si>
    <t>Թղթապանակ,պոլիմիրային թաղանթ,ֆայլ</t>
  </si>
  <si>
    <t>Դանակ գրասենյակային</t>
  </si>
  <si>
    <t>Մկրատ գրասենյակային</t>
  </si>
  <si>
    <t>Սոսինձապատված կամ կպչուն թուղթ</t>
  </si>
  <si>
    <t>Թուղթ, կազմի, ստվարաթղթե</t>
  </si>
  <si>
    <t>Կարիչ, միրչև 20 թերթի համար</t>
  </si>
  <si>
    <t>Կարիչ, 20-50 թերթի համար</t>
  </si>
  <si>
    <t>Դակիչ մեծ</t>
  </si>
  <si>
    <t>Կարիչների մետաղական կապեր</t>
  </si>
  <si>
    <t>Հաշվասարք,գրասենյակային</t>
  </si>
  <si>
    <t>Նոթատետրեր</t>
  </si>
  <si>
    <t xml:space="preserve">Օրագրեր </t>
  </si>
  <si>
    <t>Գրքի կազմ</t>
  </si>
  <si>
    <t xml:space="preserve">Կազմ,լամինացիոն թաղանթ A4 ձևաչափի </t>
  </si>
  <si>
    <t>Սեղմակ,փոքր 15մմ</t>
  </si>
  <si>
    <t>Սեղմակ,փոքր 19մմ</t>
  </si>
  <si>
    <t>Սեղմակ,միջին 25մմ</t>
  </si>
  <si>
    <t>Սեղմակ,մեծ 32 մմ</t>
  </si>
  <si>
    <t>Ամրակ  փոքր</t>
  </si>
  <si>
    <t>Բենզին ,,Ռեգուլյար,,</t>
  </si>
  <si>
    <t>Ավտոմեքենաների անիվներ</t>
  </si>
  <si>
    <t>Կապարային մարտկոցներ</t>
  </si>
  <si>
    <t>Կենցաղային նյութեր</t>
  </si>
  <si>
    <t>Ձեռքի օճառ</t>
  </si>
  <si>
    <t>Oճառ hեղուկ</t>
  </si>
  <si>
    <t xml:space="preserve">Հատակի մաքրման նյութեր  </t>
  </si>
  <si>
    <t>Զուգարանների մաքրման նյութեր</t>
  </si>
  <si>
    <t xml:space="preserve">Զուգարանների մաքրման նյութեր </t>
  </si>
  <si>
    <t xml:space="preserve"> Զուքարանի թուղթ ռուլոնով</t>
  </si>
  <si>
    <t>Հոտազերծիչ օդի</t>
  </si>
  <si>
    <t xml:space="preserve"> Անձեռոցիներ</t>
  </si>
  <si>
    <t>Պոլիէթիլենային պարկ,աղբի համար</t>
  </si>
  <si>
    <t>Լվացող նյութեր</t>
  </si>
  <si>
    <t>Ձեռնոցներ</t>
  </si>
  <si>
    <t>Ախտահանիչ հեղուկ նյութեր</t>
  </si>
  <si>
    <t>Մաքրող նյութեր/ռախշա/</t>
  </si>
  <si>
    <t xml:space="preserve">Առաստաղի լուսոավորման սարքեր </t>
  </si>
  <si>
    <t>Էլեկտրական սրճեփներ</t>
  </si>
  <si>
    <t>Ավել սովորական</t>
  </si>
  <si>
    <t>Սպունգներ</t>
  </si>
  <si>
    <t>Դռան փականի միջուկ</t>
  </si>
  <si>
    <t xml:space="preserve">Դռան  փականներ </t>
  </si>
  <si>
    <t>Մաքրող կտորներ</t>
  </si>
  <si>
    <t xml:space="preserve"> Փայլեցման քսուկներ</t>
  </si>
  <si>
    <t>Ըմպելու ջուր</t>
  </si>
  <si>
    <t>Վարչական սարքավորումներ</t>
  </si>
  <si>
    <t>Տպիչ սարք</t>
  </si>
  <si>
    <t>Համակարգիչ P4Core2Duo</t>
  </si>
  <si>
    <t>հատ</t>
  </si>
  <si>
    <t>Համակարգիչ Core2Duo2.2GHz</t>
  </si>
  <si>
    <t>Համակարգիչ մոնտաժի համար</t>
  </si>
  <si>
    <t>Համակարգիչ intel Core</t>
  </si>
  <si>
    <t>Համակարգիչ DELL Vostro 3670 MT</t>
  </si>
  <si>
    <t>Համակարգիչ Asus i7 7700 DDR4  8gb</t>
  </si>
  <si>
    <t>Համակարգիչ hHP280 i3 4160</t>
  </si>
  <si>
    <t>Համակարգիչ DELL Vostro 3888</t>
  </si>
  <si>
    <t>Համակարգիչ i5-8400 box</t>
  </si>
  <si>
    <t>Համակարգիչ core  I 7 7700 SSD 240gb</t>
  </si>
  <si>
    <t>Համակարգչային սերվեր DEll R540</t>
  </si>
  <si>
    <t>Սերվեր Dell PowerEdge R71</t>
  </si>
  <si>
    <t>NOTEBOOK DELL CORE 3</t>
  </si>
  <si>
    <t>Դյուրակիր համակարգիչ Lenovo</t>
  </si>
  <si>
    <t>Դյուրակիր համակարգիչ HP 250</t>
  </si>
  <si>
    <t>Դյուրակիր համակարգիչ DELLVostro</t>
  </si>
  <si>
    <t>Դյուրակիր համակարգիչ ASUS R542</t>
  </si>
  <si>
    <t>Դյուրակիր համակարգիչ Dell</t>
  </si>
  <si>
    <t>Դյուրակիր  համակարգիչ  DELL vostro 3500</t>
  </si>
  <si>
    <t>Մոնիտոր Samsubg22A100 22</t>
  </si>
  <si>
    <t>Մոնիտոր LCD LG</t>
  </si>
  <si>
    <t>Մոնիտոր Samsung 17 LCD</t>
  </si>
  <si>
    <t>Մոնիտոր PHILIPS 246 v5</t>
  </si>
  <si>
    <t>Մանիտոր Philips 24</t>
  </si>
  <si>
    <t>Մանիտոր Dell SE2216H</t>
  </si>
  <si>
    <t>Մոնիտոր HP Pro Display</t>
  </si>
  <si>
    <t>Մանիտոր LED</t>
  </si>
  <si>
    <t>Էկրան  (screen)</t>
  </si>
  <si>
    <t>Մոնիտոր DELL Moniitor  SE2422H</t>
  </si>
  <si>
    <t>Պրոյեկտորի էկրան Jumbo</t>
  </si>
  <si>
    <t>Մոնիտոր Samsung 75</t>
  </si>
  <si>
    <t>Տեսակոնֆերանս Logitrch Rally</t>
  </si>
  <si>
    <t>Անխափան սնուցման սարք Mer</t>
  </si>
  <si>
    <t>Արտաքին մոդեմ US Robotic</t>
  </si>
  <si>
    <t>Անխափան սնուցման սարք UPS</t>
  </si>
  <si>
    <t>Հոսանքի կարգավորող UPS 60</t>
  </si>
  <si>
    <t>Անխափան սնցման աղբյուր  Maxma MA850</t>
  </si>
  <si>
    <t>Անխափան սնուցման աղբյուր Power Maxma 850</t>
  </si>
  <si>
    <t>Տպիչ Canon LBI6650DN</t>
  </si>
  <si>
    <t>Անխափան սնուցման աղբյուր</t>
  </si>
  <si>
    <t>Հոսանքի  ԱՍՍ Power com  600 AP</t>
  </si>
  <si>
    <t>Տպիչ Canon LBP 6650DN</t>
  </si>
  <si>
    <t>Կուտակային մարտկոց 12Վ.26ԱԺ</t>
  </si>
  <si>
    <t>Բազմաֆունկցիոնալ սարք Can</t>
  </si>
  <si>
    <t>Կոշտ սկավառակ  Maxtor M3</t>
  </si>
  <si>
    <t>Երթուղիչ MikrotikRB941-2nD</t>
  </si>
  <si>
    <t>Հոսանքի կարգավորող 1000VA</t>
  </si>
  <si>
    <t>Հոսանքի   ԱՍՍ  Power Com 800 AP</t>
  </si>
  <si>
    <t>Սարք  WiFi Mikrotik RB201</t>
  </si>
  <si>
    <t>Սկանեռ HP Scanjet 300</t>
  </si>
  <si>
    <t>Սկաներ hP Scanjet 300</t>
  </si>
  <si>
    <t>Տպիչ լազերային Rezolution</t>
  </si>
  <si>
    <t>Տպիչ HP LJ 2015</t>
  </si>
  <si>
    <t>Տպիչ Kyocera 1040</t>
  </si>
  <si>
    <t>Տեսագրող սարք DS 7108 HWI</t>
  </si>
  <si>
    <t>Լազերային տպիչ HP LJ 010</t>
  </si>
  <si>
    <t>Բազմաֆունկցիոնալ տպիչ Kyocera 1020 MFP</t>
  </si>
  <si>
    <t>Բազմաֆունկցիոնալ սարք Epson L3050</t>
  </si>
  <si>
    <t>Սկաներ HP ScanJet N6010</t>
  </si>
  <si>
    <t>Տպիչ, պատճ. մեք., սկաներ</t>
  </si>
  <si>
    <t>MFP HPLaserJet Pro</t>
  </si>
  <si>
    <t>Բազմաֆունկցիոնալ  սարք HPLaserjet M281fdn</t>
  </si>
  <si>
    <t>Լազերային տպիչ laserjet</t>
  </si>
  <si>
    <t>Անխափան սնուցման սարք APC</t>
  </si>
  <si>
    <t>Լազերային տպիչ Laserget P</t>
  </si>
  <si>
    <t>Բազմաֆունկցիոնալ  սարք La</t>
  </si>
  <si>
    <t>Սկաներ HP Scanjet</t>
  </si>
  <si>
    <t>Տպիչ բազմաֆ. HP LaseJet P</t>
  </si>
  <si>
    <t>PrinterHP LaserjetPro400</t>
  </si>
  <si>
    <t>Բազմաֆունկցիոնալ սարք HP Laserjet M477fdw</t>
  </si>
  <si>
    <t>Բազմաֆունկցիոնալ սարք Las</t>
  </si>
  <si>
    <t>Սկաներ HP Skanjet Pro3000</t>
  </si>
  <si>
    <t>Պատճենահանող սարք Canon i</t>
  </si>
  <si>
    <t>Պատճենահանող սարք</t>
  </si>
  <si>
    <t>ՍարքHDV Recorder HVR</t>
  </si>
  <si>
    <t>Կոմուծիկ չափման սարք leica DIGICAT200</t>
  </si>
  <si>
    <t>Projector sceen T113UW</t>
  </si>
  <si>
    <t>Scaner HP 3000</t>
  </si>
  <si>
    <t>փոխակերպիչ D-Link PoE DWL</t>
  </si>
  <si>
    <t>Բետոն կոնտրոլ սարք</t>
  </si>
  <si>
    <t>Հեռաչափման սարք Dicto D510</t>
  </si>
  <si>
    <t>Մակերևույթի հետազոտման սարք SILVER SCHMIDT</t>
  </si>
  <si>
    <t>Հիբրիդային հեռախոսակայան</t>
  </si>
  <si>
    <t>Ամրապատերի չափ որոշման սարք  Profometer 5+Scanlog</t>
  </si>
  <si>
    <t>Մակերևույթի հետազոտմանն սարքավորում skin tester</t>
  </si>
  <si>
    <t>Չափագրման համակարգ Scan S</t>
  </si>
  <si>
    <t>Համակարգչի աթոռ</t>
  </si>
  <si>
    <t>Աթոռ մետաղական կարկասով</t>
  </si>
  <si>
    <t>Համակարգչի սեղան</t>
  </si>
  <si>
    <t>Աթոռ փափուկ փայտե</t>
  </si>
  <si>
    <t>Աթոռ մետաղական</t>
  </si>
  <si>
    <t>Պահարան vns 808</t>
  </si>
  <si>
    <t>Աթոռ փափուկ նստատեղով բար</t>
  </si>
  <si>
    <t>Սեղանի կցորդ</t>
  </si>
  <si>
    <t>Ղեկավարի բազկաթոռ</t>
  </si>
  <si>
    <t>Դիմադիր սեղան</t>
  </si>
  <si>
    <t>Պահարան երկաթյա</t>
  </si>
  <si>
    <t>Սեղան պահարան</t>
  </si>
  <si>
    <t>Գրասեղան</t>
  </si>
  <si>
    <t>Սեղան շարժական տումբայով</t>
  </si>
  <si>
    <t>Պահարան  190*100*50</t>
  </si>
  <si>
    <t>Գրասեղան 140*70*75</t>
  </si>
  <si>
    <t>Կոմբինացված պահարան 200*1</t>
  </si>
  <si>
    <t>Ղեկավարի սեղան</t>
  </si>
  <si>
    <t>Աթոռ</t>
  </si>
  <si>
    <t>Գզրոց անիվների վրա</t>
  </si>
  <si>
    <t>Գրասենյակային աթոռ moon d</t>
  </si>
  <si>
    <t>Գրասենյակայնի աթոռ s40 fi</t>
  </si>
  <si>
    <t>Դարակ</t>
  </si>
  <si>
    <t>Կոմպլեկտ սեղանի ge pcd 11</t>
  </si>
  <si>
    <t>Սեղան դիմադիր</t>
  </si>
  <si>
    <t>Սեղան դիմադիր ge 1000</t>
  </si>
  <si>
    <t>Սեղան համակարգչի ge pcd 1</t>
  </si>
  <si>
    <t>սեղան հեռախոսի at 1060</t>
  </si>
  <si>
    <t>Գրապահարան 160/200*50</t>
  </si>
  <si>
    <t>մետաղյա աթոռ ISO    BLACK</t>
  </si>
  <si>
    <t>Գրապահարան 160/200*50/պահարան/</t>
  </si>
  <si>
    <t>Բազկաթոռ</t>
  </si>
  <si>
    <t>Գրապահարան 200*90*50</t>
  </si>
  <si>
    <t>Սեղան</t>
  </si>
  <si>
    <t>Հեռուստացույցի տակդիր</t>
  </si>
  <si>
    <t>Պահարան փոքր</t>
  </si>
  <si>
    <t>Պահարան vno/gd 808</t>
  </si>
  <si>
    <t>Սեղան 140*75 viv 140m3 +p</t>
  </si>
  <si>
    <t>Գրապահարան</t>
  </si>
  <si>
    <t>Գրատախտակ</t>
  </si>
  <si>
    <t>Պահարան</t>
  </si>
  <si>
    <t>Սեղան 120/75 vw 126+ vw</t>
  </si>
  <si>
    <t>Սեղան 150*75  vw150+H36pt</t>
  </si>
  <si>
    <t>Սեղան at 126+ats2</t>
  </si>
  <si>
    <t>Աշխատակազմի ղեկավարի սեղա</t>
  </si>
  <si>
    <t>Պահարան vn 908</t>
  </si>
  <si>
    <t>Գրասեղան տումբայով</t>
  </si>
  <si>
    <t>Հեռախոսի սեղան</t>
  </si>
  <si>
    <t>Պահարան մեծ</t>
  </si>
  <si>
    <t>Սեղան 160*75</t>
  </si>
  <si>
    <t>Սեղան AT 1600+ H3D</t>
  </si>
  <si>
    <t>Սեղան նիստերի   ge 3010</t>
  </si>
  <si>
    <t>Սեղան նիստերի 1810</t>
  </si>
  <si>
    <t>Բազմոց nike d307 - tb9</t>
  </si>
  <si>
    <t>Աթոռ գրասենյակային</t>
  </si>
  <si>
    <t>Մոնաժային արկղ Krone</t>
  </si>
  <si>
    <t>Սեղան խորհրդակցական</t>
  </si>
  <si>
    <t>Գրասենյակային աթոռ անշարժ</t>
  </si>
  <si>
    <t>Աշխատանքային  անշարժ բազկաթոռ</t>
  </si>
  <si>
    <t>Աթոռ  D  305</t>
  </si>
  <si>
    <t>Սեղան  0608</t>
  </si>
  <si>
    <t>Գրապահարան 160/200*50/զգեստապահարանով/</t>
  </si>
  <si>
    <t>Բազկաթոռ ղեկավարի Ատլանտիկ</t>
  </si>
  <si>
    <t>Սեղան 0608.-1</t>
  </si>
  <si>
    <t>Ղեկավարի բազկաթոռ Օրիոն</t>
  </si>
  <si>
    <t>Խորհրդակցության սեղան</t>
  </si>
  <si>
    <t>Կից սեղան</t>
  </si>
  <si>
    <t>Պահարան OZ 785</t>
  </si>
  <si>
    <t>Չհրկիզվող պահարան</t>
  </si>
  <si>
    <t>Գրասենյակայնի բազկաթոռ A 8</t>
  </si>
  <si>
    <t>բազկաթոռ</t>
  </si>
  <si>
    <t>Կոնֆերենս սեղան</t>
  </si>
  <si>
    <t>քմ</t>
  </si>
  <si>
    <t>Անալոգային հեռախոս Panaso</t>
  </si>
  <si>
    <t>Անալոգային հեռախոս Panasonic</t>
  </si>
  <si>
    <t>Շարժական աուդիո Panasonik</t>
  </si>
  <si>
    <t>Լայնացքարտ</t>
  </si>
  <si>
    <t>Ֆաքս և հեռախոս PanasonikK</t>
  </si>
  <si>
    <t>Թվային հեռախոս panasonik</t>
  </si>
  <si>
    <t>Փոշեկուլ Philips FC 8606</t>
  </si>
  <si>
    <t>Աստիճան</t>
  </si>
  <si>
    <t>Հսկիչ վահանակ</t>
  </si>
  <si>
    <t>Օդավորակավորիչ Tadiran</t>
  </si>
  <si>
    <t>Օդավորակավորիչ Toshiba RA</t>
  </si>
  <si>
    <t>Սանդուղք մետաղյա</t>
  </si>
  <si>
    <t>Թուղթ կտրող սարք</t>
  </si>
  <si>
    <t>Ձեռքերի չորացման սարք</t>
  </si>
  <si>
    <t>Փոշեկուլ KARCHER</t>
  </si>
  <si>
    <t>Ցուցանակներ և հարակից առարկաներ</t>
  </si>
  <si>
    <t>էլեկտրական պտուտակահան</t>
  </si>
  <si>
    <t>օդակարգավորիչ KRAFT</t>
  </si>
  <si>
    <t>Օդորակիչ 9000 TU KRAFT</t>
  </si>
  <si>
    <t>Օդորակիչ 12000 BTUKRAFT</t>
  </si>
  <si>
    <t>Օդորակիչ 9000 BTU CENTEK</t>
  </si>
  <si>
    <t>Օդորակիչ 18000 BTU KRAFT</t>
  </si>
  <si>
    <t>Օդորակիչ MITSHUBISHI ELEC</t>
  </si>
  <si>
    <t>Սառնարան Toshiba GRR</t>
  </si>
  <si>
    <t>Հեռահաշվիչ</t>
  </si>
  <si>
    <t>թուղթ աղացող մեքենա REXEL</t>
  </si>
  <si>
    <t>Էլեկտրական սրբիչ</t>
  </si>
  <si>
    <t>Էլեկտրական փական</t>
  </si>
  <si>
    <t>տեսախցիկ EN-DI45B-32</t>
  </si>
  <si>
    <t>WD-2211HDSilver (ջրի սարք</t>
  </si>
  <si>
    <t>Դիկտաֆոն Sony B-600</t>
  </si>
  <si>
    <t>Համակարգչի փոշեկուլ 1000</t>
  </si>
  <si>
    <t>WD 2211HD /ջրի սարք</t>
  </si>
  <si>
    <t>թուղթ աղացող մեքենա ATLAS</t>
  </si>
  <si>
    <t>Կոմուտատոր HUB DES-1024D/</t>
  </si>
  <si>
    <t>Ջրատաքացուցիչ ELECTROLUX</t>
  </si>
  <si>
    <t>Թվային ֆոտոապարատ Olimpus</t>
  </si>
  <si>
    <t>Ձայնագրիչ DVD LG RH-1858</t>
  </si>
  <si>
    <t>Լամինատոր A 3 ձևաչափի</t>
  </si>
  <si>
    <t>Անվտանգության տեսախցիկ  Hikvision DS2CD2421GO-1</t>
  </si>
  <si>
    <t>Թվային ֆոտոապարատ Canon</t>
  </si>
  <si>
    <t>Կազմարարական սարք Fellows</t>
  </si>
  <si>
    <t>Digital camera Sony HDR -</t>
  </si>
  <si>
    <t>Բրոշյուր կարող սարք CONTROLS 58-CO181</t>
  </si>
  <si>
    <t>Թվային ֆոտոապարատ FujiFil</t>
  </si>
  <si>
    <t>Տեսագրող սարք Hikvision DS 7604NI K1/P</t>
  </si>
  <si>
    <t>Անվտանգության և հակահրդեհեյին սարք</t>
  </si>
  <si>
    <t>Հեռաչափ Disto A5  LEICA DISTRO</t>
  </si>
  <si>
    <t>Պրոյեկտոր Sanyo PCL-XU86</t>
  </si>
  <si>
    <t>Պրոյեկտոր  MW523</t>
  </si>
  <si>
    <t>Լամինատոր Fusion 5000LA3</t>
  </si>
  <si>
    <t>Շերտավարագույր 5.6</t>
  </si>
  <si>
    <t>Շերտավարագույր 4.4</t>
  </si>
  <si>
    <t>շերտավարագույր 4.8</t>
  </si>
  <si>
    <t>Շերտավարագույր 5.4</t>
  </si>
  <si>
    <t>Շերտավարագույի 5.6</t>
  </si>
  <si>
    <t>Դրոշ ձողով</t>
  </si>
  <si>
    <t>Շաղափ</t>
  </si>
  <si>
    <t>Շերտավարագույր 8.8</t>
  </si>
  <si>
    <t>Շերտավարագույր</t>
  </si>
  <si>
    <t>Շերտավարագույր 10</t>
  </si>
  <si>
    <t>Շերտավարագույի 11.2</t>
  </si>
  <si>
    <t>Ջահ 621- 8 նիկել</t>
  </si>
  <si>
    <t>Հրեպատ USG 20</t>
  </si>
  <si>
    <t>Ջահ PRINCES 8 թև  անտիկ</t>
  </si>
  <si>
    <t>Ամբիոն</t>
  </si>
  <si>
    <t>Շերտավարագույր 4.8</t>
  </si>
  <si>
    <t xml:space="preserve">Բաղրամյան  19 </t>
  </si>
  <si>
    <t>ՀՀ Ազգային ժողով</t>
  </si>
  <si>
    <t>Վարդանանց փակուղի 8/1 շենք</t>
  </si>
  <si>
    <t xml:space="preserve">Պայմանագիր 27.08.2009թվ.                 N 0176310  գրանցման վկայական  </t>
  </si>
  <si>
    <t>,,Վարդանանց բիզնես կենտրոն,, ՍՊԸ</t>
  </si>
  <si>
    <t xml:space="preserve">Պայմանագիր 12.09.2017 թվ.N 19092017-01-0194  գրանցման վկայական  </t>
  </si>
  <si>
    <t>Քաղաքացի Արթուր Զաքարյան</t>
  </si>
  <si>
    <t xml:space="preserve">Պայմանագիր     06.02.2020  թվ.               NN 19012017-01-0071 գրանցման վկայական  </t>
  </si>
  <si>
    <t>Քաղաքացի Խաչիկ Զաքարյան</t>
  </si>
  <si>
    <t>Արարողակարգի և փաստաթղթաշրջանառության վարչություն</t>
  </si>
  <si>
    <t>Իրավաբանական բաժին</t>
  </si>
  <si>
    <t>Անձնակազմի կառավարման բաժին</t>
  </si>
  <si>
    <t>Բարձրագույնի /1-ին ենթախումբ/</t>
  </si>
  <si>
    <t>46-Ղ1-1</t>
  </si>
  <si>
    <t>Քաղաքացիական աշխատանք կատարող</t>
  </si>
  <si>
    <t>Հակոբյան Նարինե</t>
  </si>
  <si>
    <t>Գլխ.քարտ.օգնական</t>
  </si>
  <si>
    <t>Կարապետյան Կարեն</t>
  </si>
  <si>
    <t>Առուստամյան Կարեն</t>
  </si>
  <si>
    <t>Սողոմոնյան Եղիշե</t>
  </si>
  <si>
    <t>Հովեյան Գեղամ</t>
  </si>
  <si>
    <t>Ջանջուղազյան Ատոմ</t>
  </si>
  <si>
    <t>Բարսեղյան Գագիկ</t>
  </si>
  <si>
    <t>Ոսկանյան Գագիկ</t>
  </si>
  <si>
    <t>Հակոբյան Արմեն</t>
  </si>
  <si>
    <t>Ասլիկյան Արա</t>
  </si>
  <si>
    <t>արական</t>
  </si>
  <si>
    <t>Պալատի նախագահ</t>
  </si>
  <si>
    <t>Պալատի անդամ</t>
  </si>
  <si>
    <t>Պետրոսյան Տաթևիկ</t>
  </si>
  <si>
    <t>Մովսիսյան Արմենուհի</t>
  </si>
  <si>
    <t>Թադևոսյան Գայանե</t>
  </si>
  <si>
    <t>իգական</t>
  </si>
  <si>
    <t>պալատի անդամի օգնական</t>
  </si>
  <si>
    <t>\</t>
  </si>
  <si>
    <t>Քաղաքացիական /պետական/ ծառայողներ **</t>
  </si>
  <si>
    <t>Հարությունյան Վազգեն</t>
  </si>
  <si>
    <t>ԱՌԱՋԻՆ ՎԱՐՉՈՒԹՅՈՒՆ</t>
  </si>
  <si>
    <t>Երանոսյան Կարեն</t>
  </si>
  <si>
    <t>Տերտերյան Սերգեյ</t>
  </si>
  <si>
    <t>Հովհաննիսյան Աշոտ</t>
  </si>
  <si>
    <t>Հակոբյան Գուրգեն</t>
  </si>
  <si>
    <t>ԵՐԿՐՈՐԴ  ՎԱՐՉՈՒԹՅՈՒՆ</t>
  </si>
  <si>
    <t>Մարտիրոսյան Խաչիկ</t>
  </si>
  <si>
    <t>Մուրադյան Հարություն</t>
  </si>
  <si>
    <t>ԵՐՐՈՐԴ  ՎԱՐՉՈՒԹՅՈՒՆ</t>
  </si>
  <si>
    <t>Միհրանյան Հակոբ</t>
  </si>
  <si>
    <t>Արշակյան Մխիթար</t>
  </si>
  <si>
    <t>Գրիգորյան Մխիթար</t>
  </si>
  <si>
    <t>Սաֆարյան Արեգ</t>
  </si>
  <si>
    <t>Հարոյան Գևորգ</t>
  </si>
  <si>
    <t>Պողոսյան Վահագն</t>
  </si>
  <si>
    <t>Գուլարյան Հրանտ</t>
  </si>
  <si>
    <t>Մինասյան Գեղամ</t>
  </si>
  <si>
    <t>Կարապետյան Արմեն</t>
  </si>
  <si>
    <t>Բաղդասարյան Աշոտ</t>
  </si>
  <si>
    <t>ՀԻՆԳԵՐՈՐԴ   ՎԱՐՉՈՒԹՅՈՒՆ</t>
  </si>
  <si>
    <t>Գևորգյան Վաչագան</t>
  </si>
  <si>
    <t>Պողոսյան Արմեն</t>
  </si>
  <si>
    <t>ՎԵՑԵՐՈՐԴ  ՎԱՐՉՈՒԹՅՈՒՆ</t>
  </si>
  <si>
    <t>Դանիելյան Նաիրա</t>
  </si>
  <si>
    <t>Հարությունյան Գագիկ</t>
  </si>
  <si>
    <t>Իսրայելյան Մարիամ</t>
  </si>
  <si>
    <t>Փափազյան Խաչիկ</t>
  </si>
  <si>
    <t>Դավթյան Հերբերտ</t>
  </si>
  <si>
    <t>Վարդանյան Յուրիկ</t>
  </si>
  <si>
    <t>Գասպարյան Լիլիթ</t>
  </si>
  <si>
    <t>Հովհաննիսյան Արմեն</t>
  </si>
  <si>
    <t>Առաքելյան Վարդան</t>
  </si>
  <si>
    <t>Սաֆարյան Մուշեղ</t>
  </si>
  <si>
    <t>Հարությունյան Արմեն</t>
  </si>
  <si>
    <t>Սիմոնյան Արա</t>
  </si>
  <si>
    <t>Սիմոնյան Արման</t>
  </si>
  <si>
    <t>Ավետիսյան Վարշամ</t>
  </si>
  <si>
    <t>Դավթյան Կարեն</t>
  </si>
  <si>
    <t>Գևորգյան Աշոտ</t>
  </si>
  <si>
    <t>Կյատիկյան Վիլսոն</t>
  </si>
  <si>
    <t>Խաչատրյան Գևորգ</t>
  </si>
  <si>
    <t>Գաբրիելյան Կարեն</t>
  </si>
  <si>
    <t>Ստեփանյան Մարինե</t>
  </si>
  <si>
    <t>Աղաջանյան Վարդան</t>
  </si>
  <si>
    <t>Առաքելյան Մարգարիտ</t>
  </si>
  <si>
    <t xml:space="preserve">Հակոբյան Մեսրոպ </t>
  </si>
  <si>
    <t>Հովականյան Նարեկ</t>
  </si>
  <si>
    <t>ՄԵԹՈԴԱԲԱՆՈՒԹՅԱՆ,ՎԵՐԼՈՒԾՈՒԹՅԱՆ ԵՎ ՄԻՋԱԶԳԱՅԻՆ ԿԱՊԵՐԻ ՎԱՐՉՈՒԹՅՈՒՆ</t>
  </si>
  <si>
    <t>Կարապետյան Զորայր</t>
  </si>
  <si>
    <t>Մխիթարյան Ժիրայր</t>
  </si>
  <si>
    <t>Մաթևոսյան Գայանե</t>
  </si>
  <si>
    <t>Մարտիրոսյան Նելի</t>
  </si>
  <si>
    <t xml:space="preserve">Ազարյան Վահե </t>
  </si>
  <si>
    <t>Սուքիասյան Էդուարդ</t>
  </si>
  <si>
    <t>Զոհրաբյան Գոհար</t>
  </si>
  <si>
    <t>Բեդիրյան Ծովինար</t>
  </si>
  <si>
    <t>Սիմոնյան Աշոտ</t>
  </si>
  <si>
    <t>Արզումանյան Ալիկ</t>
  </si>
  <si>
    <t>Վարորդ</t>
  </si>
  <si>
    <t>Սավգուլյան Ասատուր</t>
  </si>
  <si>
    <t>Կարապետյան Լևոն</t>
  </si>
  <si>
    <t>Հարությունյան Սուսաննա</t>
  </si>
  <si>
    <t>Հովհաննիսյան Մարիամ</t>
  </si>
  <si>
    <t>ԱՐԱՐՈՂԱԿԱՐԳԻՐ ԵՎ ՓԱՍՏԱԹՂԹԱՇՐՋԱՆԱՌՈՒԹՅԱՆ ՎԱՐՉՈՒԹՅՈՒՆ</t>
  </si>
  <si>
    <t>Վարդանյան Գևորգ</t>
  </si>
  <si>
    <t>Պետրոսյան Նաիրա</t>
  </si>
  <si>
    <t>Ալեյան Աննա</t>
  </si>
  <si>
    <t>ԻՐԱՎԱԲԱՆԱԿ ԲԱԺԻՆ</t>
  </si>
  <si>
    <t>Բաժնի պետ</t>
  </si>
  <si>
    <t>Մանասյան Գուրգեն</t>
  </si>
  <si>
    <t>ԱՆՁՆԱԿԱԶՄԻ ԿԱՌԱՎԱՐՄԱՆ ԲԱԺԻՆ</t>
  </si>
  <si>
    <t>Բաբայան Ռիմա</t>
  </si>
  <si>
    <t>Կարապետյան Անի</t>
  </si>
  <si>
    <t>Պետոյան Ռուզան</t>
  </si>
  <si>
    <t>Ոսկանյան Արտակ</t>
  </si>
  <si>
    <t>Սիմոնյան Արթուր</t>
  </si>
  <si>
    <t>Մելքոնյան Արսեն</t>
  </si>
  <si>
    <t>Պողոսյան  Սամվել</t>
  </si>
  <si>
    <t>Խաչատրյան Գոհար</t>
  </si>
  <si>
    <t>Գևորգյան Անդրանիկ</t>
  </si>
  <si>
    <t>Վարչ․պետի տեղակալ</t>
  </si>
  <si>
    <t xml:space="preserve">Վարչության պետ </t>
  </si>
  <si>
    <t>Գլխ․մասնագետ</t>
  </si>
  <si>
    <t xml:space="preserve">Տեղատվական </t>
  </si>
  <si>
    <t>Կապի մասնագետ</t>
  </si>
  <si>
    <t>Հաքարար</t>
  </si>
  <si>
    <t>Գլխ․ մասնագետ</t>
  </si>
  <si>
    <t>ՀՀ հաշվեքննիչ պալատի նախագահի պաշտոնական այցեր և աշխատանքային հանդիպումներ</t>
  </si>
  <si>
    <t>տեխնիկական սպասարկում իրականացնող անձնակազմ</t>
  </si>
  <si>
    <t>Արմավիրի մարզ</t>
  </si>
  <si>
    <t>Շիրակի մարզ</t>
  </si>
  <si>
    <t>Լոռու մարզ</t>
  </si>
  <si>
    <t>Կոտայքի մարզ</t>
  </si>
  <si>
    <t>Արարատի մարզ</t>
  </si>
  <si>
    <t>Սյունիքի մարզ</t>
  </si>
  <si>
    <t>Տավուշի մարզ</t>
  </si>
  <si>
    <t>Աշխատակիցների վերապատրաստման ծառայություններ</t>
  </si>
  <si>
    <t>Ապակարիչ</t>
  </si>
  <si>
    <t xml:space="preserve"> </t>
  </si>
  <si>
    <t>Նախագահի խորհրդական</t>
  </si>
  <si>
    <t>Նախագահի օգնական</t>
  </si>
  <si>
    <t>Նախագահի օգնական (մամուլի քարտուղարի պարտականությունները կատարող)</t>
  </si>
  <si>
    <t>Կարիչ, 50 թերթից  ավելին</t>
  </si>
  <si>
    <t>Կպչոին ժապավեն</t>
  </si>
  <si>
    <t>Օդորակիչ</t>
  </si>
  <si>
    <t>Հաշվեքննիչ պալատի գործունեություն և հաշվեքննության իրականացման ծառայություն</t>
  </si>
  <si>
    <t>Հաշվեքննիչ պալատի պահուստային ֆոնդ</t>
  </si>
  <si>
    <t>Հանրային ֆինանսների և սեփականության ոլորտում հաշվեքննություն</t>
  </si>
  <si>
    <t>ՀԱՇՎԵՔՆՆԻՉ ՊԱԼԱՏ</t>
  </si>
  <si>
    <t xml:space="preserve">Ցանցային բաժանարար </t>
  </si>
  <si>
    <t>Սնուցման մարտկոց դյուրակիրմ համակարգչի համար</t>
  </si>
  <si>
    <t>Հայաստանի Հ հաշվեքննիչ պալատ</t>
  </si>
  <si>
    <t>Երևան,Բաղրամյան 19</t>
  </si>
  <si>
    <t>900 քմ</t>
  </si>
  <si>
    <t>Ներքին հարդարման աշխատանքներ՝ պատերի ներկում լատեքստային ներկով ծեփամածկմամբ,լավորակ</t>
  </si>
  <si>
    <t>2500դրամ  * 288 ք.մ = 720.0 Հազ.դրամ</t>
  </si>
  <si>
    <t>720.0 հազ.դրամ</t>
  </si>
  <si>
    <t>Աշխատանքի մասնագիտական զարգացման ծառայություններ</t>
  </si>
  <si>
    <t>Համակարգիչը ամբողջը մեկում</t>
  </si>
  <si>
    <r>
      <t>Հ</t>
    </r>
    <r>
      <rPr>
        <sz val="10"/>
        <color indexed="8"/>
        <rFont val="GHEA Grapalat"/>
        <family val="3"/>
      </rPr>
      <t>ովհաննիսյան Տիգրան</t>
    </r>
  </si>
  <si>
    <t>Դյուրակիր համակարգիչ</t>
  </si>
  <si>
    <t>Դյուրակիր համակարգիչ Intel Corei3</t>
  </si>
  <si>
    <t>Դյուրակիր համակարգիր F. LifebookAH5</t>
  </si>
  <si>
    <t>Դյուրակիր համակարգիր F.LifebookAH5</t>
  </si>
  <si>
    <t>Դյուրակիր համակարգիր</t>
  </si>
  <si>
    <t>Դյուրակիր համակարգիր Dell Inspiron</t>
  </si>
  <si>
    <t>Դյուրակիր համակարգիր Toshiba L300</t>
  </si>
  <si>
    <t>Դյուրակիր համակարգիր F Lifebook AH</t>
  </si>
  <si>
    <t>Դյուրակիր համակարգիր Intel Core  i3</t>
  </si>
  <si>
    <t>Դյուրակիր համակարգիչ Fujjtsu</t>
  </si>
  <si>
    <t>Դյուրակիր համակարգիրFujjtsu Lifeboo</t>
  </si>
  <si>
    <t>Դյուրակիր համակարգիրIntel Core  i5</t>
  </si>
  <si>
    <t>Դյուրակիր համակարգիր HPProBook650GI</t>
  </si>
  <si>
    <t>Ցանցային երթուղիչ</t>
  </si>
  <si>
    <t>Բազկթոռ ղեկավարի</t>
  </si>
  <si>
    <t>Տեսաձայնագրիչ Hilkvision DS</t>
  </si>
  <si>
    <t>Տեսախցիկ  ներքին Hilkvision DS</t>
  </si>
  <si>
    <t>Կոշտ սկավառակ  Hilkvision ST</t>
  </si>
  <si>
    <t>Կենտրոնական վահանակ Satel  Perfecta</t>
  </si>
  <si>
    <t>Կառավարման ստեղնաշար  Satel KL</t>
  </si>
  <si>
    <t>Արտաքին շչակ Satel  SPW</t>
  </si>
  <si>
    <t xml:space="preserve"> 2024թ. ընթացքում գնման ենթակա </t>
  </si>
  <si>
    <t>2025թ. բյուջետային հայտ</t>
  </si>
  <si>
    <t>Կախիչ</t>
  </si>
  <si>
    <t>Լազերային տպիչ</t>
  </si>
  <si>
    <t>2023թ. փաստացի</t>
  </si>
  <si>
    <t>2027թ.</t>
  </si>
  <si>
    <t>2024թ. հաստատված</t>
  </si>
  <si>
    <t>2025թ. բյուջետային հայտի և  2024թ. հաստատվածի տարբերությունը</t>
  </si>
  <si>
    <t>2023թ.  փաստացի  կատարողական</t>
  </si>
  <si>
    <t xml:space="preserve"> 2024թ. հաստատված բյուջե</t>
  </si>
  <si>
    <t>2027թ. բյուջետային  հայտ</t>
  </si>
  <si>
    <t xml:space="preserve"> Հաշվեքննիչ պալատի տեխնիկական հագեցվածության բարելավում</t>
  </si>
  <si>
    <t xml:space="preserve"> Հաշվեքննիչ պալատի տրանսպորտային միջոցներով ապահովվածության բարելավում</t>
  </si>
  <si>
    <t>Տնտեսագիտական դասակարգման հոդվածների գծով 2025թ. ընթացքում նախատեսվող ծախսերը՝ ըստ ապրանքների և ծառայությունների տեսակների</t>
  </si>
  <si>
    <t>Էներգետիկ ծառայությունների գծով ծախսերի հաշվարկման ձևերը լրացվում են`</t>
  </si>
  <si>
    <t xml:space="preserve">Ծառայողական գործուղումների գծով ծախսերի հաշվարկման վերաբերյալ </t>
  </si>
  <si>
    <t xml:space="preserve">Ծախսերի տարբերու թյունը (2025թ.-2024թ.)            </t>
  </si>
  <si>
    <t>Ընդամենը (4221 հոդված)</t>
  </si>
  <si>
    <t>Վայոց Ձորի մարզ</t>
  </si>
  <si>
    <t>Գեղարքունիքի մրազ</t>
  </si>
  <si>
    <t>INTOSAI անդամ երկրների բարձրագույն հաշվեքննիչ մարմինների գագաթնաժողով (INCOSAI)</t>
  </si>
  <si>
    <t>ԱՊՀ երկրների բարձրագույն հաշվեքննիչ մարմինների ղեկավարների Խորհրդի նիստ</t>
  </si>
  <si>
    <t>Ներմուծման մաքսատուրքի գումարները հաշվեգրելու և բաշխելու, դրանք ԵՏՄ անդամ պետությունների բյուջեներ փոխանցելու կարգի ապահովման նկատմամբ աուդիտի բարձրագույն մարմինների համատեղ միջոցառումներ</t>
  </si>
  <si>
    <t>Եվրասիական տնտեսական հանձնաժողովում և Եվրասիական տնտեսական միության դատարանում արտաքին աուդիտ</t>
  </si>
  <si>
    <t>INTOSAI բնապահապանական աուդիտի աշխատանքային խմբի նիստ</t>
  </si>
  <si>
    <t>Հավելված 1</t>
  </si>
  <si>
    <t>ՀՀ</t>
  </si>
  <si>
    <t>Միջոցառման անվանումը</t>
  </si>
  <si>
    <t>Միջոցառման</t>
  </si>
  <si>
    <t>տևողությունը</t>
  </si>
  <si>
    <t>Տարեկան</t>
  </si>
  <si>
    <t>հաճախա-կանությունը</t>
  </si>
  <si>
    <t>Մասնակիցների թիվը</t>
  </si>
  <si>
    <t>յուրաքանչյուր</t>
  </si>
  <si>
    <t>միջոցառմանը</t>
  </si>
  <si>
    <t>Մեկ մասնակցի համար մոտավոր ծախսը</t>
  </si>
  <si>
    <t>Ընդհանուր</t>
  </si>
  <si>
    <t>~ 2500 ԱՄՆ դոլարին համարժեք դրամ</t>
  </si>
  <si>
    <t>3-5 օր</t>
  </si>
  <si>
    <t>~ 3000 ԱՄՆ դոլարին համարժեք դրամ</t>
  </si>
  <si>
    <t>40 օր</t>
  </si>
  <si>
    <t>~ 13,000</t>
  </si>
  <si>
    <t>ԱՄՆ դոլարին համարժեք դրամ</t>
  </si>
  <si>
    <t>~ 18,000</t>
  </si>
  <si>
    <t>INTOSAI կայուն զարգացման առանցքային  ցուցանիշների աշխատանքային խմբի նիստ</t>
  </si>
  <si>
    <t>INTOSAI պետական գնումների աուդիտի աշխատանքային խմբի նիստ</t>
  </si>
  <si>
    <t>EUROSAI բնապահապանական աուդիտի աշխատանքային խմբի նիստ</t>
  </si>
  <si>
    <t>~ 2000 ԱՄՆ դոլարին համարժեք դրամ</t>
  </si>
  <si>
    <t>EUROSAI տեղեկատվական տեխնոլոգիաների աուդիտի աշխատանքային խմբի նիստ</t>
  </si>
  <si>
    <t>ASOSAI աուդիտի բարձրագույն մարմինների կազմակերպության կողմից կազմակերպվող միջազգային սեմինար</t>
  </si>
  <si>
    <t>7-10 օր</t>
  </si>
  <si>
    <t>ՀՊ-ն վճարում է միայն օրապահիկը</t>
  </si>
  <si>
    <t>~ 1500 ԱՄՆ դոլարին համարժեք դրամ</t>
  </si>
  <si>
    <t>INTOSAI անդամների համար կազմակերպվող միջազգային մասնագիտական սեմինարներ</t>
  </si>
  <si>
    <t>Սևծովյան ավազանի երկրների աուդիտի խմբի լիիրավ անդամների աշխատանքային նիստեր</t>
  </si>
  <si>
    <t>ԱՊՀ երկրների աուդիտի բարձրագույն մարմինների ղեկավարների Խորհրդի տարեկան աշխատանքային պլանի համաձայն կազմակերպվող սեմինարներ</t>
  </si>
  <si>
    <t>2-3 օր</t>
  </si>
  <si>
    <t>EUROSAI և ASOSAI անդամ երկների բարձրագույն հաշվեքննիչ մարմինների համատեղ կոնֆերանս</t>
  </si>
  <si>
    <t>ԸՆԴԱՄԵՆԸ 2025թթ.</t>
  </si>
  <si>
    <t>ԱՄՆ դոլար</t>
  </si>
  <si>
    <t>EUROSAI և OLACEFS անդամ երկների բարձրագույն հաշվեքննիչ մաչմինների համատեղ կոնֆերանս</t>
  </si>
  <si>
    <t>ԸՆԴԱՄԵՆԸ 2026թթ.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</si>
  <si>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2025 թվականի մասնակցության ծախսերի նախահաշիվ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</si>
  <si>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2026 թվականի մասնակցության ծախսերի նախահաշիվ</t>
  </si>
  <si>
    <t>EUROSAI անդամ երկրների բարձրագույն հաշվեքննիչ մարմինների գագաթնաժողով</t>
  </si>
  <si>
    <t>ASOSAI  անդամ երկրների բարձրագույն հաշվեքննիչ մարմինների կազմակերպության  գագաթնաժողով</t>
  </si>
  <si>
    <t>INTOSAI և UN (Միացյալ ազգերի կազմակերպություն)  համատեղ մասնագիտական կոնֆերանս</t>
  </si>
  <si>
    <t>ԸՆԴԱՄԵՆԸ 2027թթ.</t>
  </si>
  <si>
    <t>ՀՀ հաշվեքննիչ պալատի ներկայացուցիչների միջազգային գագաթնաժողովների, աշխատանքային խմբերի հանդիպումների և մասնագիտական վերապատրաստման սեմինարների  2027 թվականի մասնակցության ծախսերի նախահաշիվ</t>
  </si>
  <si>
    <t>ԸՆԴԱՄԵՆԸ հազ. Դրամ</t>
  </si>
  <si>
    <t xml:space="preserve"> ԱՄՆ դոլլար</t>
  </si>
  <si>
    <t>~ 13000 ԱՄՆ դոլարին համարժեք դրամ</t>
  </si>
  <si>
    <t>ՀՀ դրամ</t>
  </si>
  <si>
    <t>Գրաֆիտե միջուկ մատիտի համար</t>
  </si>
  <si>
    <t>Սոսնձամատիտ գրասենյակային</t>
  </si>
  <si>
    <t>Գրասենյակային լրակազմ</t>
  </si>
  <si>
    <t>Աթոռ գրեսանյակային</t>
  </si>
  <si>
    <t>Տրանսպորտային միջոցներ</t>
  </si>
  <si>
    <t>Մարդատար ավտոմեքենա</t>
  </si>
  <si>
    <t xml:space="preserve">ԱՇԽԱՏԱՆՔԻ  ՎԱՐՁԱՏՐՈՒԹՅՈՒՆ  </t>
  </si>
  <si>
    <t>այդ թվում՝</t>
  </si>
  <si>
    <t>Շենքերի պահպանման ծառայություններ</t>
  </si>
  <si>
    <t>Արխիվային ծառայություն</t>
  </si>
  <si>
    <t>Այլ ծառայություն</t>
  </si>
  <si>
    <t>Կայքի հայտարարություններ</t>
  </si>
  <si>
    <t>Ցանցային սարքավոիրչ TP-LINK</t>
  </si>
  <si>
    <t xml:space="preserve">Սվիչ </t>
  </si>
  <si>
    <t>Համակարգչային մկինկ</t>
  </si>
  <si>
    <t>Շարժիչի յուղ</t>
  </si>
  <si>
    <t>Յուղի զտիչ</t>
  </si>
  <si>
    <t>Լամպ ցերեկային 60սմ</t>
  </si>
  <si>
    <t>Բաժակ թղթյա 250 մլ</t>
  </si>
  <si>
    <t>Գուաշ 100 մլ</t>
  </si>
  <si>
    <t>Զուգարանի թղթի պռնակ</t>
  </si>
  <si>
    <t xml:space="preserve"> Զուքարանի թուղթ ռուլոնով </t>
  </si>
  <si>
    <t xml:space="preserve"> Զուքարանի թուղթ ռուլոնով Selpak</t>
  </si>
  <si>
    <t>Թեյնիկ 1020</t>
  </si>
  <si>
    <t>Խողովակաշարի մետաղական փականներ</t>
  </si>
  <si>
    <t>Ծեփամածիկ գիպսային</t>
  </si>
  <si>
    <t>Էլեկտրոկան ծորակ</t>
  </si>
  <si>
    <t>Կոյուղու խողովակներ</t>
  </si>
  <si>
    <t>Կտոր հատակի</t>
  </si>
  <si>
    <t>Ճկուն մետաղական խողովակ</t>
  </si>
  <si>
    <t>Միզարան</t>
  </si>
  <si>
    <t>Ներկ լատեքս</t>
  </si>
  <si>
    <t>Սիլիկոն թափանցիկ</t>
  </si>
  <si>
    <t>Պոլիէթիլենային պարկ,</t>
  </si>
  <si>
    <t>Դռան փական սողանով</t>
  </si>
  <si>
    <t>Օճառի տարա</t>
  </si>
  <si>
    <t>Նշումների թուղթ ինքնքկպչուն 76*76</t>
  </si>
  <si>
    <t>Թղթապանակ  2 օղակով</t>
  </si>
  <si>
    <t>Թղթապանակ  արագակար</t>
  </si>
  <si>
    <t>Թղթապանակ  ստվարաթղթե՝   թելով</t>
  </si>
  <si>
    <t>Թղթապանակ  կոճգամով</t>
  </si>
  <si>
    <t>Նամակի ծրար A4 ձևաչափի</t>
  </si>
  <si>
    <t>Նամակի ծրար A3 ձևաչափի</t>
  </si>
  <si>
    <t>Նամակի ծրար A5 ձևաչափի</t>
  </si>
  <si>
    <t>Նշումների թուղթ</t>
  </si>
  <si>
    <t>Տնտեսող լամպ հաստ կոթառով</t>
  </si>
  <si>
    <t>Տնտեսող լամպ  բարակ կոթառով</t>
  </si>
  <si>
    <t>Հակասառիչ նյութեր A դասի կոնցենտրանտ A-40 դասի`40 C աստիճան դիմապակու</t>
  </si>
  <si>
    <t>Էլեկտրական թեկնիկ</t>
  </si>
  <si>
    <t>Մաքրող կտոր հատակի 50x100</t>
  </si>
  <si>
    <t>Ժավելի սպիրտ</t>
  </si>
  <si>
    <t>Հատալը մաքրող սարք մետաղական շարժակոն ձողով</t>
  </si>
  <si>
    <t xml:space="preserve">Հեղուկ ապակու </t>
  </si>
  <si>
    <t>Ավել սավոկով</t>
  </si>
  <si>
    <t>Բույր՝ ավտոմատ հոտազերծիչի</t>
  </si>
  <si>
    <t>Կոմունալ  ծառայություններ</t>
  </si>
  <si>
    <t>Կայքում տեղադրվող հայտարարություններ</t>
  </si>
  <si>
    <t>Թուղթ,A4 ֆորմատի</t>
  </si>
  <si>
    <t>Անխափան սնուցման սարք</t>
  </si>
  <si>
    <t>Տվյալների մուտքագրման ծառայություններ</t>
  </si>
  <si>
    <t>ՀՀ  հանրային իշխանության  մարմինների 2025 թվականի էլեկտրաէներգիայի ծախսերի /բացառությամբ ջեռուցման/</t>
  </si>
  <si>
    <t>ՀՀ  հանրային իշխանության մարմինների 2025 թվականի փոստային կապի ծառայությունների ծախսի</t>
  </si>
  <si>
    <t>2025 թվականի ՀՀ  հանրային իշխանության մարմինների վարչական շենքերի և շինությունների գազով ջեռուցման համար անհրաժեշտ  ծախսերի</t>
  </si>
  <si>
    <t>Խորհրդակցության սեղան /փոքր/</t>
  </si>
  <si>
    <t xml:space="preserve">ՀՀ հանրային իշխանության մարմինների ավտոմեքենաների վերաբերյալ   </t>
  </si>
  <si>
    <t>Ընդամենը ավտոմեքենաների սահմանաքանակը*</t>
  </si>
  <si>
    <r>
      <t>Առաջարկություն՝ ավտոմեքենայի հետագա շահագործման նպատակահարմարության վերաբերյալ</t>
    </r>
    <r>
      <rPr>
        <sz val="9"/>
        <rFont val="GHEA Grapalat"/>
        <family val="3"/>
      </rPr>
      <t xml:space="preserve">
(ընտրել ցանկից)</t>
    </r>
  </si>
  <si>
    <t xml:space="preserve">ՀԱՅՏ
2025թ. տրանսպորտային միջոցների պահպանման ծախսերը, 
այդ թվում՝ </t>
  </si>
  <si>
    <t xml:space="preserve"> 2024թ. ընթացքում ձեռք բերվող/հատկացվող ավտոմեքենաները</t>
  </si>
  <si>
    <t xml:space="preserve"> ՀԱՅՏ
2025թ. ընթացքում ձեռք բերվող/հատկացվող ավտոմեքենաների պահանջը</t>
  </si>
  <si>
    <t>Ծանոթություն
(ներկայացնել հիմնավորումներ նոր ավտոմեքենայի պահանջի վերաբերյալ)</t>
  </si>
  <si>
    <t>ղեկավարի պաշտոնը կամ ստորաբաժանման անվանումը, որին սպասարկում է տվյալ ավտոմեքենան</t>
  </si>
  <si>
    <t>մակնիշը</t>
  </si>
  <si>
    <t>թափքի տեսակը</t>
  </si>
  <si>
    <t xml:space="preserve">շարժիչի վառելանյութի տեսակը </t>
  </si>
  <si>
    <t>շարժիչի ծավալը 
(լիտր)</t>
  </si>
  <si>
    <t>հատուկ միջոցներով կահավորանքի առկայություն</t>
  </si>
  <si>
    <t>արտադրության տարեթիվը
(ընտրել ցանկից)</t>
  </si>
  <si>
    <t xml:space="preserve">օգտակար ծառայության մնացորդային ժամկետը (տարի) </t>
  </si>
  <si>
    <t>Ընդամենը տրանսպորտային նյութեր
4264 հոդված 
(հազար դրամ)</t>
  </si>
  <si>
    <t>Ընթացիկ նորոգման ծառայությունների ձեռքբերում 
4252 հոդված 
(հազար դրամ)</t>
  </si>
  <si>
    <t>Ընդամենը տեխզննության և բնապահպանական վճարներ 
4823 հոդված
(հազար դրամ)</t>
  </si>
  <si>
    <t>Ընդամենը պահպանման ծախսեր 
(հազար դրամ)</t>
  </si>
  <si>
    <t>գնման գինը   
(հազ դրամ)</t>
  </si>
  <si>
    <r>
      <rPr>
        <b/>
        <i/>
        <vertAlign val="superscript"/>
        <sz val="10"/>
        <rFont val="GHEA Grapalat"/>
        <family val="3"/>
      </rPr>
      <t>1</t>
    </r>
    <r>
      <rPr>
        <b/>
        <i/>
        <sz val="10"/>
        <rFont val="GHEA Grapalat"/>
        <family val="3"/>
      </rPr>
      <t>Ղեկավարին սպասարկող ծառայողական ավտոմեքենաները</t>
    </r>
  </si>
  <si>
    <r>
      <rPr>
        <b/>
        <i/>
        <vertAlign val="superscript"/>
        <sz val="10"/>
        <rFont val="GHEA Grapalat"/>
        <family val="3"/>
      </rPr>
      <t>3</t>
    </r>
    <r>
      <rPr>
        <b/>
        <i/>
        <sz val="10"/>
        <rFont val="GHEA Grapalat"/>
        <family val="3"/>
      </rPr>
      <t>Գործառնական և հատուկ նշանակության ավտոմեքենաներ, այդ թվում՝ ըստ ստորաբաժանումների</t>
    </r>
  </si>
  <si>
    <t>Այլ տրանսպորտային միջոցներ</t>
  </si>
  <si>
    <t xml:space="preserve">Լրացնել ընդամենը ավտոմեքենաների սահմանաքանակը, որը հաշվարկվում է ՀՀ  կառավարության 28.09.2023թ. N 1666-Ն որոշմամբ հաստատված կարգավորումներով, ներառյալ՝ </t>
  </si>
  <si>
    <t>1. ծառայողական/սպասարկող</t>
  </si>
  <si>
    <t>ա) ղեկավարին սպասարկող</t>
  </si>
  <si>
    <t xml:space="preserve">բ) որոշմամբ նախատեսված դեպքերում՝ ղեկավարի տեղակալների թվի հաշվարկով </t>
  </si>
  <si>
    <t xml:space="preserve">գ) աշխատակիցներին սպասարկող (յուրաքանչյուր 100 աշխատողին՝ մեկ ավտոմեքենա հաշվարկով) </t>
  </si>
  <si>
    <t>2. գործառնական և հատուկ նշանակության ավտոմեքենաներ, որոնց սահմանաքանակը հաստատվում է ՀՀ կառավարության որոշմամբ: Ընդ որում, այս խմբում ներառվում են նաև օրենքով սահմանված դեպքերում օպերատիվ-հետախուզական գործունեության իրականացման նպատակով շահագործվող մեքենաները:</t>
  </si>
  <si>
    <t>N 1666-Ն որոշմամբ սահմանված Կարգի համաձայն՝ ղեկավարին սպասարկող և մարմնին սպասարկող տարբերանշանով ավտոմեքենաների քանակը որոշվում է Կարգի 17-րդ կետին համապատասխան, իսկ գործառնական և հատուկ նշանակության ավտոմեքենաների սահամանաքանկը հաստատվում է ՀՀ կառավարության որոշմամբ:</t>
  </si>
  <si>
    <t>Ավտոմեքենայի թափքի տեսակը</t>
  </si>
  <si>
    <t xml:space="preserve">շարժիչի վառելանյութի տեսակը
(ընտրել ցանկից) </t>
  </si>
  <si>
    <t>Շարժիչի ծավալը</t>
  </si>
  <si>
    <t>հատուկ միջոցներով կահավորանքի պահանջ</t>
  </si>
  <si>
    <t xml:space="preserve">սեդան </t>
  </si>
  <si>
    <t>բենզին</t>
  </si>
  <si>
    <t>մինչև 1,8</t>
  </si>
  <si>
    <t>առկա չէ</t>
  </si>
  <si>
    <t>ունիվերսալ</t>
  </si>
  <si>
    <t>գազ</t>
  </si>
  <si>
    <t>1,9-ից մինչև 2,2</t>
  </si>
  <si>
    <t>առկա է</t>
  </si>
  <si>
    <t>ամենագնաց</t>
  </si>
  <si>
    <t>դիզել</t>
  </si>
  <si>
    <t>2,3-ից մինչև 3,5</t>
  </si>
  <si>
    <t>միկրոավտոբուս</t>
  </si>
  <si>
    <t>էլեկտրական</t>
  </si>
  <si>
    <t>3,6-ից մինչև 6,0</t>
  </si>
  <si>
    <t>ավտոբուս</t>
  </si>
  <si>
    <t>հիբրիդ</t>
  </si>
  <si>
    <t>6,1-ից ավելի</t>
  </si>
  <si>
    <t>Առաջարկություն՝ ավտոմեքենայի հետագա շահագործման, նոր ավտոմեքենա հատկացնելու և փոխհատուցում տրամադրելու վերաբերյալ</t>
  </si>
  <si>
    <t>ենթակա է հետագա շահագործման</t>
  </si>
  <si>
    <t>հատկացնել նոր ավտոմեքենա՝ Կարգի 8-րդ կետի հիմքով</t>
  </si>
  <si>
    <t xml:space="preserve">տրամադրել ծախսերի փոխհատուցում և մեքենան հանձնել Կոմիտեին </t>
  </si>
  <si>
    <t>մեքենան հանձնել Կոմիտեին</t>
  </si>
  <si>
    <t>Տոյոտա Քմերի 025ԼԼ55</t>
  </si>
  <si>
    <t>Նիսսան Ալտիմա 002 PP01</t>
  </si>
  <si>
    <t>Տոյոտա Քեմրի 003 PP01</t>
  </si>
  <si>
    <t>Նիսսան Սենտրա 005PP01</t>
  </si>
  <si>
    <t>Նիսսան Սենտրա 006PP02</t>
  </si>
  <si>
    <t>Տոյոտա Քորոլլա 007PP01</t>
  </si>
  <si>
    <t>Տոյոտա Քորոլլա 008PP02</t>
  </si>
  <si>
    <t>Նիսսան Իքսթրայլ 010Pp01</t>
  </si>
  <si>
    <t>Հերթապահ /աշխատակազմ/</t>
  </si>
  <si>
    <t>Տոյոտա Քորոլլա 004PP02</t>
  </si>
  <si>
    <t>ՀՀ հանրային իշխանության մարմինների 2025 թվականի կապի ծառայությունների ձեռքբերման ծախսերի</t>
  </si>
  <si>
    <t>Ձևաչափը մշակվել է ՀՀ կառավարության 30.12.2004թ. N 1956-Ն որոշման հիման վրա: 
Որոշման 5.2 կետում նշված մարմինները կարող են օգտվել սույն ձևաչափից՝ ներքին իրավական ակտերով սահմանված նորմերով:</t>
  </si>
  <si>
    <t xml:space="preserve">Ընդամենը աշխատողների թվաքանակը, այդ թվում՝ </t>
  </si>
  <si>
    <t>Տեխնիկական սպասարկում իրականացնողների քանակը</t>
  </si>
  <si>
    <t>Միջքաղաքային, բջջային, միջազգային խոսակցությունների վճար 
(դրամ)</t>
  </si>
  <si>
    <t>հաստիքների քանակը</t>
  </si>
  <si>
    <t>Ընդամենը տարեկան 
(դրամ)</t>
  </si>
  <si>
    <t>Ընդամենը տարեկան (ներառյալ ԱԱՀ)</t>
  </si>
  <si>
    <t>Ղեկավարի տեղակալ (հանձնաժողովի, խորհրդի
անդամներ)</t>
  </si>
  <si>
    <t>Գլխավոր քարտուղար
(աշխատակազմի ղեկավար)</t>
  </si>
  <si>
    <t>Գլխավոր քարտուղարի տեղակալ (աշխատակազմի
ղեկավարի տեղակալ)</t>
  </si>
  <si>
    <t>Տարածքային մարմնի
(ստորաբաժանման) ղեկավար</t>
  </si>
  <si>
    <t>Տարածքային մարմին
(ստորաբաժանում)</t>
  </si>
  <si>
    <t>Ընդամենը հիմնական և աջակցող մասնագիտական ստորաբաժանումների ղեկավարներ (վարչության պետ, բաժնի պետ), այդ թվում՝
(տող 13=տողեր 14+15+16)</t>
  </si>
  <si>
    <t>Հիմնական և աջակցող մասնագիտական ստորաբաժանումների քանակը (վարչություն, բաժին), առանց Միջազգային համագործակցության և Փաստաթղթաշրջանառության ստորաբաժանումների</t>
  </si>
  <si>
    <t>Միջազգային համագործակցություն իրականացնող վարչություն
(բաժին)</t>
  </si>
  <si>
    <t>Փաստաթղթաշրջանառությունն
ապահովող ստորաբաժանում</t>
  </si>
  <si>
    <r>
      <t xml:space="preserve">ԸՆԴԱՄԵՆԸ 
Միջքաղաքային, բջջային, միջազգային խոսակցությունների վճար (ներառյալ </t>
    </r>
    <r>
      <rPr>
        <i/>
        <sz val="10"/>
        <rFont val="GHEA Grapalat"/>
        <family val="3"/>
      </rPr>
      <t>ԱԱՀ)</t>
    </r>
  </si>
  <si>
    <t>Բ</t>
  </si>
  <si>
    <t>Բաժանորդային վարձ</t>
  </si>
  <si>
    <r>
      <t>ընդամենը քանակը</t>
    </r>
    <r>
      <rPr>
        <vertAlign val="superscript"/>
        <sz val="9"/>
        <rFont val="GHEA Grapalat"/>
        <family val="3"/>
      </rPr>
      <t>2</t>
    </r>
  </si>
  <si>
    <t xml:space="preserve">ամսական բաժանորդային վարձի սակագինը, առանց ԱԱՀ (Օպերատոր 1) </t>
  </si>
  <si>
    <t xml:space="preserve">ամսական բաժանորդային վարձի սակագինը, առանց ԱԱՀ (Օպերատոր 2) </t>
  </si>
  <si>
    <t>հեռախոսագծերի քանակը</t>
  </si>
  <si>
    <t>(ս.4 x բաժանորդային վարձ) դրամ</t>
  </si>
  <si>
    <t>(ս.6 x բաժանորդային վարձ) դրամ</t>
  </si>
  <si>
    <t>Բաժանորդային վարձի սակագինը ըստ կապի օպերատորի հետ կնքված պայմանագրի 
(ՀՀ դրամով` առանց ԱԱՀ-ի)</t>
  </si>
  <si>
    <t>Ընդամենը հեռախոսագծերի քանակը 
(ՀՀ կառավարության 30.12.2004թ. N 1956-Ն որոշում, կետ 5.3)</t>
  </si>
  <si>
    <t xml:space="preserve">այդ թվում՝ </t>
  </si>
  <si>
    <r>
      <t>Ա բաժնի 1-ից 9-ը և 12 տողերում թվարկված հաստիքներ զբաղեցնողների համար առանփնացված հեռախոսագծերի քանակը</t>
    </r>
    <r>
      <rPr>
        <vertAlign val="superscript"/>
        <sz val="9"/>
        <rFont val="GHEA Grapalat"/>
        <family val="3"/>
      </rPr>
      <t>1</t>
    </r>
  </si>
  <si>
    <t>Աշխատակիցների յուրաքանչյուր 4 միավորի համար մեկական հեռախոսագիծ (բացառությամբ տեխնիկական սպասարկողների)</t>
  </si>
  <si>
    <t>Տեխնիկական սպասարկում իրականացնող անձնակազմի համար</t>
  </si>
  <si>
    <t>Ընդամենը՝ տարեկան բաժանորդային վարձ (դրամ, ներառյալ ԱԱՀ)</t>
  </si>
  <si>
    <t>Գ</t>
  </si>
  <si>
    <t>Տեղական ելից զանգեր 
(ամսական 1000-ական դրամ` ցանցի ներսում և դեպի այլ օպերատորներ)</t>
  </si>
  <si>
    <t>Դ</t>
  </si>
  <si>
    <t>Կապի այլ պայմանագրային ծառայություններ (դրամ)</t>
  </si>
  <si>
    <t>հաշվարկների համար հիմք է ընդունվում ՀՀ կառավարության 30.12.2004թ. N 1956-Ն որոշմամբ հաստատված նորմերը</t>
  </si>
  <si>
    <t>ղեկավարի համար 1-ից ավելի հեռախոսագծերի առկայության դեպքում լրացուցիչ հեռախոսագծերի քանակն ավելացնել D36 սյունակի բանաձևում</t>
  </si>
  <si>
    <t>D34 սյունակի ցուցանիշը պետք է հավասար լինի տարբեր օպերատորների կողմից տրամադրված հեռախոսագծերի քանակների գումարին՝ =E34+G34</t>
  </si>
  <si>
    <t>Ընդանուր բնույթի այլ ծառայություններ</t>
  </si>
  <si>
    <t xml:space="preserve">2023թ. փաստացի </t>
  </si>
  <si>
    <t>2024թ. պլանավորված</t>
  </si>
  <si>
    <t>2025թ. հայտ</t>
  </si>
  <si>
    <t xml:space="preserve"> 2025թ. հայտի և 2024թ. պլանավորվածի տարբերությունը</t>
  </si>
  <si>
    <t>գրանցված</t>
  </si>
  <si>
    <t>Համացանցակին հոստնիգ ծառայություն</t>
  </si>
  <si>
    <t>Dոմենի անվանում</t>
  </si>
  <si>
    <t>Պայմանավորված է բենզինի գնի թանկացման հետ</t>
  </si>
  <si>
    <t>Համաձայն հաշվարկի, հիմք է հանդիսացել կենցաղային պայմանների բարելավման պահանջը</t>
  </si>
  <si>
    <t>Հայտատուի  անվանումը  Հաշվեքննիչ պալատ</t>
  </si>
  <si>
    <t>Հայտատուի  անվանումը Հաշվեքննիչ պալատ</t>
  </si>
  <si>
    <t>Հայտատուի  անվանումը                    Հաշվեքննիչ պալատ</t>
  </si>
  <si>
    <t xml:space="preserve">Հաշվեքննիչ պալատ </t>
  </si>
  <si>
    <t>Հայտատուի  անվանումը   Հաշվեքննիչ պալատ</t>
  </si>
  <si>
    <t>Հաշվեքննիչ պալատ</t>
  </si>
  <si>
    <t>Հայտատուի  անվանումը                                                                                                                                                                                                                                                                                                                                                                                                                              Հաշվեքննիչ պալատ</t>
  </si>
  <si>
    <t xml:space="preserve">  Փաստացի  կատարո ղական</t>
  </si>
  <si>
    <t>Հաստատված բյուջե</t>
  </si>
  <si>
    <t>Բյուջետային  հայտ</t>
  </si>
  <si>
    <t>Հայտի տարբերությունը 2024թ. հաստատվածի նկատմամբ</t>
  </si>
  <si>
    <t>Հայտի տարբերությունը 2023թ. փաստացի կատարողականի նկատմամբ</t>
  </si>
  <si>
    <t>Պայմանավորված է տեքստերի մշակման փաթեթի ձեռք բերման և հաշվապահական ծրագրի սպասարմնան արժեքի ավելացման  հետ</t>
  </si>
  <si>
    <t>Ձև N 12</t>
  </si>
  <si>
    <t>ՀՀ հանրային իշխանության մարմինների տեխնիկայի միջոցների և գրասենյակային գույքի վերաբերյալ</t>
  </si>
  <si>
    <t>այդ թվում՝ ընդամենը օգտակար ծառայության ժամկետում գտնվող գույքի քանակը</t>
  </si>
  <si>
    <t>Տպիչ, համակարգչին կամ համակարգչային ցանցին միանալու հնարավորություն ունեցող պատճենահանող և ֆաքսիմիլային սարքեր, թիվը` ընդամենը</t>
  </si>
  <si>
    <t>Բջջային կապի ծառայություն / ահազանգման սիստեմի հետ կապված հաղորդակցության ստացում/</t>
  </si>
  <si>
    <r>
      <t>2-3</t>
    </r>
    <r>
      <rPr>
        <b/>
        <sz val="12"/>
        <color indexed="8"/>
        <rFont val="GHEA Grapalat"/>
        <family val="3"/>
      </rPr>
      <t xml:space="preserve"> </t>
    </r>
    <r>
      <rPr>
        <sz val="12"/>
        <color indexed="8"/>
        <rFont val="GHEA Grapalat"/>
        <family val="3"/>
      </rPr>
      <t>օր</t>
    </r>
  </si>
  <si>
    <t>Պալատի անդամի օգնական</t>
  </si>
  <si>
    <t>Քաղաքացիական ծառայության պաշտոններ</t>
  </si>
  <si>
    <t>Առաջին վարչություն</t>
  </si>
  <si>
    <t>Երկրորդ վարչություն</t>
  </si>
  <si>
    <t>Երրորդ վարչություն</t>
  </si>
  <si>
    <t>Չորրորդ վարչություն</t>
  </si>
  <si>
    <t>Հինգերորդ վարչություն</t>
  </si>
  <si>
    <t>Վեցերորդ վարչություն</t>
  </si>
  <si>
    <t>Կատարողականի հաշվեքննության վարչություն</t>
  </si>
  <si>
    <t>Մեթոդաբանության, վերլուծության և միջազգային կապերի</t>
  </si>
  <si>
    <t>Ֆինանսատնտեսական  վարչություն</t>
  </si>
  <si>
    <t>Քաղաքացիական աշխատանք կատարող և տեխնիկական սպասարկում իրականացնող  անձնակազմ</t>
  </si>
  <si>
    <t>Քաղաքացիական աշխատանք կատարող անձնակազմ</t>
  </si>
  <si>
    <t>Գլխավոր քարտուղարի օգնական</t>
  </si>
  <si>
    <t xml:space="preserve">Ֆինանսատնտեսական  վարչություն քաղաքացիական աշխատանք կատարող
</t>
  </si>
  <si>
    <t>Ֆինանսատնտեսական  վարչություն
Տեխնիկական սպասարկում իրականացնող անձնակազմ</t>
  </si>
  <si>
    <t xml:space="preserve">Հայտատուի  անվանումը   </t>
  </si>
  <si>
    <t xml:space="preserve">2027թ. </t>
  </si>
  <si>
    <r>
      <t>*</t>
    </r>
    <r>
      <rPr>
        <sz val="12"/>
        <color indexed="8"/>
        <rFont val="GHEA Grapalat"/>
        <family val="3"/>
      </rPr>
      <t xml:space="preserve">Սահմանվող պաշտոնային դրույքաչափը /ս.8 x բազային աշխատավարձ/ </t>
    </r>
  </si>
  <si>
    <t>Տվյալ պաշտոնում աշխատանքային ստաժը /2027թ. հուլիսի 1-ի դրությամբ/  (տարի/ամիս)</t>
  </si>
  <si>
    <t xml:space="preserve">Գործակից /2027թ. հուլիսի 1-ի դրությամբ/  </t>
  </si>
  <si>
    <t>Ընդամենն ըստ բաժին I</t>
  </si>
  <si>
    <t>Խաչատրյան Մարիամ</t>
  </si>
  <si>
    <t>Ընդամենը ըստ բաժին II</t>
  </si>
  <si>
    <t>7/7</t>
  </si>
  <si>
    <t>6/7</t>
  </si>
  <si>
    <t>8/7</t>
  </si>
  <si>
    <t>9/7</t>
  </si>
  <si>
    <t>46-28.1.1-Ղ3-1</t>
  </si>
  <si>
    <t>3/5</t>
  </si>
  <si>
    <t>2/5</t>
  </si>
  <si>
    <t>4/5</t>
  </si>
  <si>
    <t>5/5</t>
  </si>
  <si>
    <t>46-28.1.1-Ղ4-1</t>
  </si>
  <si>
    <t>7/8</t>
  </si>
  <si>
    <t>6/8</t>
  </si>
  <si>
    <t>8/8</t>
  </si>
  <si>
    <t>9/8</t>
  </si>
  <si>
    <t>Պետրոսյան Արմեն ***</t>
  </si>
  <si>
    <t>46-28.1.1-Մ2-1</t>
  </si>
  <si>
    <t>13/3</t>
  </si>
  <si>
    <t>12/3</t>
  </si>
  <si>
    <t>14/3</t>
  </si>
  <si>
    <t>15/3</t>
  </si>
  <si>
    <t>46-28.1.1-Մ2-2</t>
  </si>
  <si>
    <t>9/3</t>
  </si>
  <si>
    <t>8/3</t>
  </si>
  <si>
    <t>10/3</t>
  </si>
  <si>
    <t>11/3</t>
  </si>
  <si>
    <t>46-28.1.1-Մ2-3</t>
  </si>
  <si>
    <t>16/5</t>
  </si>
  <si>
    <t>17/5</t>
  </si>
  <si>
    <t>18/5</t>
  </si>
  <si>
    <t>46-28.1.1-Մ2-4</t>
  </si>
  <si>
    <t>10/7</t>
  </si>
  <si>
    <t>11/7</t>
  </si>
  <si>
    <t>46-28.1.1-Մ2-5</t>
  </si>
  <si>
    <t>46-28.1.1-Մ2-6</t>
  </si>
  <si>
    <t>46-28.1.1-Մ2-7</t>
  </si>
  <si>
    <t>46-28.1.1-Մ2-8</t>
  </si>
  <si>
    <t>46-28.1.1-Մ2-9</t>
  </si>
  <si>
    <t>46-28.1.1-Մ2-10</t>
  </si>
  <si>
    <t>46-28.1.2-Ղ3-1</t>
  </si>
  <si>
    <t>46-28.1.2-Ղ4-1</t>
  </si>
  <si>
    <t>4/1</t>
  </si>
  <si>
    <t>3/1</t>
  </si>
  <si>
    <t>5/1</t>
  </si>
  <si>
    <t>6/1</t>
  </si>
  <si>
    <t>46-28.1.2-Մ2-1</t>
  </si>
  <si>
    <t>21/6</t>
  </si>
  <si>
    <t>20/6</t>
  </si>
  <si>
    <t>22/6</t>
  </si>
  <si>
    <t>23/6</t>
  </si>
  <si>
    <t>46-28.1.2-Մ2-2</t>
  </si>
  <si>
    <t>3/7</t>
  </si>
  <si>
    <t>2/7</t>
  </si>
  <si>
    <t>4/7</t>
  </si>
  <si>
    <t>5/7</t>
  </si>
  <si>
    <t>46-28.1.2-Մ2-3</t>
  </si>
  <si>
    <t>15/5</t>
  </si>
  <si>
    <t>14/5</t>
  </si>
  <si>
    <t>Ղազարյան Մարինե</t>
  </si>
  <si>
    <t>46-28.1.2-Մ2-4</t>
  </si>
  <si>
    <t>6/5</t>
  </si>
  <si>
    <t>7/5</t>
  </si>
  <si>
    <t>46-28.1.2-Մ2-5</t>
  </si>
  <si>
    <t>12/1</t>
  </si>
  <si>
    <t>11/1</t>
  </si>
  <si>
    <t>13/1</t>
  </si>
  <si>
    <t>14/1</t>
  </si>
  <si>
    <t>46-28.1.2-Մ2-6</t>
  </si>
  <si>
    <t>46-28.1.2-Մ2-7</t>
  </si>
  <si>
    <t>46-28.1.2-Մ2-8</t>
  </si>
  <si>
    <t>46-28.1.2-Մ2-9</t>
  </si>
  <si>
    <t>46-28.1.2-Մ2-10</t>
  </si>
  <si>
    <t>46-28.1.3-Ղ3-1</t>
  </si>
  <si>
    <t>6/9</t>
  </si>
  <si>
    <t>5/9</t>
  </si>
  <si>
    <t>7/9</t>
  </si>
  <si>
    <t>8/9</t>
  </si>
  <si>
    <t>46-28.1.3-Ղ4-1</t>
  </si>
  <si>
    <t>4/9</t>
  </si>
  <si>
    <t>3/9</t>
  </si>
  <si>
    <t>46-28.1.3-Ղ4-2</t>
  </si>
  <si>
    <t>46-28.1.3-Մ2-1</t>
  </si>
  <si>
    <t>2/9</t>
  </si>
  <si>
    <t>46-28.1.3-Մ2-2</t>
  </si>
  <si>
    <t>19/5</t>
  </si>
  <si>
    <t>20/5</t>
  </si>
  <si>
    <t>21/5</t>
  </si>
  <si>
    <t>46-28.1.3-Մ2-3</t>
  </si>
  <si>
    <t>22/5</t>
  </si>
  <si>
    <t>46-28.1.3-Մ2-4</t>
  </si>
  <si>
    <t>10/1</t>
  </si>
  <si>
    <t>12/1/</t>
  </si>
  <si>
    <t>46-28.1.3-Մ2-5</t>
  </si>
  <si>
    <t>24/6</t>
  </si>
  <si>
    <t>46-28.1.3-Մ2-6</t>
  </si>
  <si>
    <t>4/4</t>
  </si>
  <si>
    <t>3/4</t>
  </si>
  <si>
    <t>5/4</t>
  </si>
  <si>
    <t>6/4</t>
  </si>
  <si>
    <t>46-28.1.3-Մ2-7</t>
  </si>
  <si>
    <t>2/2</t>
  </si>
  <si>
    <t>1/2</t>
  </si>
  <si>
    <t>3/2</t>
  </si>
  <si>
    <t>4/2</t>
  </si>
  <si>
    <t>46-28.1.3-Մ2-8</t>
  </si>
  <si>
    <t>13/2</t>
  </si>
  <si>
    <t>12/2</t>
  </si>
  <si>
    <t>14/2</t>
  </si>
  <si>
    <t>15/2</t>
  </si>
  <si>
    <t>46-28.1.3-Մ2-9</t>
  </si>
  <si>
    <t>46-28.1.3-Մ2-10</t>
  </si>
  <si>
    <t>46-28.1.3-Մ2-11</t>
  </si>
  <si>
    <t>46-28.1.3-Մ2-12</t>
  </si>
  <si>
    <t>ՉՈՐՐՈՐԴ   ՎԱՐՉՈՒԹՅՈՒՆ</t>
  </si>
  <si>
    <t>Մարգարյան Ժորա</t>
  </si>
  <si>
    <t>46-28.1.4-Ղ3-1</t>
  </si>
  <si>
    <t>14/6</t>
  </si>
  <si>
    <t>13/6</t>
  </si>
  <si>
    <t>15/6</t>
  </si>
  <si>
    <t>16/6</t>
  </si>
  <si>
    <t>46-28.1.4-Ղ4-1</t>
  </si>
  <si>
    <t>17</t>
  </si>
  <si>
    <t>16</t>
  </si>
  <si>
    <t>18</t>
  </si>
  <si>
    <t>19</t>
  </si>
  <si>
    <t>46-28.1.4-Ղ4-2</t>
  </si>
  <si>
    <t>11/10</t>
  </si>
  <si>
    <t>10/10</t>
  </si>
  <si>
    <t>12/10</t>
  </si>
  <si>
    <t>13/10</t>
  </si>
  <si>
    <t>46-28.1.4-Մ2-1</t>
  </si>
  <si>
    <t>15/7</t>
  </si>
  <si>
    <t>14/7</t>
  </si>
  <si>
    <t>16/7</t>
  </si>
  <si>
    <t>17/7</t>
  </si>
  <si>
    <t>Պետրոսյան Զորի</t>
  </si>
  <si>
    <t>46-28.1.4-Մ2-2</t>
  </si>
  <si>
    <t>Սահակյան Հարություն</t>
  </si>
  <si>
    <t>46-28.1.4-Մ2-3</t>
  </si>
  <si>
    <t>11/2</t>
  </si>
  <si>
    <t>10/2</t>
  </si>
  <si>
    <t>Մելքոնյան Արմեն</t>
  </si>
  <si>
    <t>46-28.1.4-Մ2-4</t>
  </si>
  <si>
    <t>23</t>
  </si>
  <si>
    <t>46-28.1.4-Մ2-5</t>
  </si>
  <si>
    <t>8/4</t>
  </si>
  <si>
    <t>7/4</t>
  </si>
  <si>
    <t>9/4</t>
  </si>
  <si>
    <t>10/4</t>
  </si>
  <si>
    <t>46-28.1.4-Մ2-6</t>
  </si>
  <si>
    <t>5/3</t>
  </si>
  <si>
    <t>4/3</t>
  </si>
  <si>
    <t>6/3</t>
  </si>
  <si>
    <t>7/3</t>
  </si>
  <si>
    <t>46-28.1.4-Մ2-7</t>
  </si>
  <si>
    <t>46-28.1.4-Մ2-8</t>
  </si>
  <si>
    <t>25</t>
  </si>
  <si>
    <t>24</t>
  </si>
  <si>
    <t>26</t>
  </si>
  <si>
    <t>27</t>
  </si>
  <si>
    <t>46-28.1.4-Մ2-9</t>
  </si>
  <si>
    <t>46-28.1.4-Մ2-10</t>
  </si>
  <si>
    <t>46-28.1.4-Մ2-11</t>
  </si>
  <si>
    <t>46-28.1.4-Մ2-12</t>
  </si>
  <si>
    <t>46-28.1.4-Մ2-13</t>
  </si>
  <si>
    <t>Ռուբենյան Արմեն</t>
  </si>
  <si>
    <t>46-28.1.5-Ղ3-1</t>
  </si>
  <si>
    <t>7/1</t>
  </si>
  <si>
    <t>8/1</t>
  </si>
  <si>
    <t>46-28.1.5-Ղ4-1</t>
  </si>
  <si>
    <t>5/8</t>
  </si>
  <si>
    <t>4/8</t>
  </si>
  <si>
    <t>46-28.1.5-Ղ4-2</t>
  </si>
  <si>
    <t>21/3</t>
  </si>
  <si>
    <t>20/3</t>
  </si>
  <si>
    <t>22/3</t>
  </si>
  <si>
    <t>23/3</t>
  </si>
  <si>
    <t>46-28.1.5-Մ2-1</t>
  </si>
  <si>
    <t>11/4</t>
  </si>
  <si>
    <t>46-28.1.5-Մ2-2</t>
  </si>
  <si>
    <t>9/11</t>
  </si>
  <si>
    <t>8/11</t>
  </si>
  <si>
    <t>10/11</t>
  </si>
  <si>
    <t>11/11</t>
  </si>
  <si>
    <t>46-28.1.5-Մ2-3</t>
  </si>
  <si>
    <t>46-28.1.5-Մ2-4</t>
  </si>
  <si>
    <t>10/9</t>
  </si>
  <si>
    <t>9/9</t>
  </si>
  <si>
    <t>11/9</t>
  </si>
  <si>
    <t>12/9</t>
  </si>
  <si>
    <t>46-28.1.5-Մ2-5</t>
  </si>
  <si>
    <t>46-28.1.5-Մ2-6</t>
  </si>
  <si>
    <t>46-28.1.5-Մ2-7</t>
  </si>
  <si>
    <t>46-28.1.5-Մ2-8</t>
  </si>
  <si>
    <t>46-28.1.5-Մ2-9</t>
  </si>
  <si>
    <t>46-28.1.5-Մ2-10</t>
  </si>
  <si>
    <t>46-28.1.6-Ղ3-1</t>
  </si>
  <si>
    <t>46-28.1.6-Ղ4-1</t>
  </si>
  <si>
    <t>1/11</t>
  </si>
  <si>
    <t>0/11</t>
  </si>
  <si>
    <t>2/11</t>
  </si>
  <si>
    <t>3/11</t>
  </si>
  <si>
    <t>46-28.1.6-Ղ4-2</t>
  </si>
  <si>
    <t>46-28.1.6-Մ2-1</t>
  </si>
  <si>
    <t>46-28.1.6-Մ2-2</t>
  </si>
  <si>
    <t>46-28.1.6-Մ2-3</t>
  </si>
  <si>
    <t>3/8</t>
  </si>
  <si>
    <t>2/8</t>
  </si>
  <si>
    <t>46-28.1.6-Մ2-4</t>
  </si>
  <si>
    <t>46-28.1.6-Մ2-5</t>
  </si>
  <si>
    <t>46-28.1.6-Մ2-6</t>
  </si>
  <si>
    <t>46-28.1.6-Մ2-7</t>
  </si>
  <si>
    <t>46-28.1.6-Մ2-8</t>
  </si>
  <si>
    <t>46-28.1.6-Մ2-9</t>
  </si>
  <si>
    <t>ԿԱՏԱՐՈՂԱԿԱՆԻ ՀԱՇՎԵՔՆՆՈՒԹՅԱՆ  ՎԱՐՉՈՒԹՅՈՒՆ</t>
  </si>
  <si>
    <t>46-28.1.7-Ղ3-1</t>
  </si>
  <si>
    <t>1/5</t>
  </si>
  <si>
    <t>0/5</t>
  </si>
  <si>
    <t>46-28.1.7-Ղ4-1</t>
  </si>
  <si>
    <t>46-28.1.7-Մ2-1</t>
  </si>
  <si>
    <t>46-28.1.7-Մ2-2</t>
  </si>
  <si>
    <t>46-28.1.7-Մ2-3</t>
  </si>
  <si>
    <t>Ավագ մասնագետ</t>
  </si>
  <si>
    <t>46-28.1.7-Մ3-1</t>
  </si>
  <si>
    <t>Մասնագետ</t>
  </si>
  <si>
    <t>46-28.1.7-Մ6-1</t>
  </si>
  <si>
    <t>46-28.1.7-Մ2-4</t>
  </si>
  <si>
    <t>46-28.1.7-Մ2-5</t>
  </si>
  <si>
    <t>46-28.1.7-Մ2-6</t>
  </si>
  <si>
    <t>46-28.1.7-Մ2-7</t>
  </si>
  <si>
    <t>46-28.2.1-Ղ3-1</t>
  </si>
  <si>
    <t>46-28.2.1-Ղ4-1</t>
  </si>
  <si>
    <t>46-28.2.1-Մ2-1</t>
  </si>
  <si>
    <t>46-28.2.1-Մ2-2</t>
  </si>
  <si>
    <t>21/11</t>
  </si>
  <si>
    <t>20/11</t>
  </si>
  <si>
    <t>22/11</t>
  </si>
  <si>
    <t>23/11</t>
  </si>
  <si>
    <t>46-28.2.1-Մ2-3</t>
  </si>
  <si>
    <t>26/8</t>
  </si>
  <si>
    <t>25/8</t>
  </si>
  <si>
    <t>27/8</t>
  </si>
  <si>
    <t>28/8</t>
  </si>
  <si>
    <t>46-28.2.1-Մ2-4</t>
  </si>
  <si>
    <t>46-28.2.1-Մ2-5</t>
  </si>
  <si>
    <t>46-28.2.1-Մ2-6</t>
  </si>
  <si>
    <t>46-28.2.1-Մ2-7</t>
  </si>
  <si>
    <t>46-28.2.1-Մ2-8</t>
  </si>
  <si>
    <t xml:space="preserve">  ՖԻՆԱՆՍԱՏՆՏԵՍԱԿԱՆ ՎԱՐՉՈՒԹՅՈՒՆ</t>
  </si>
  <si>
    <t>46-28.3.1-Ղ3-1</t>
  </si>
  <si>
    <t>Ֆինասական բաժին</t>
  </si>
  <si>
    <t>46-28.3.1-Ղ4-3</t>
  </si>
  <si>
    <t>46-28.3.1-Մ2-2</t>
  </si>
  <si>
    <t>46-28.3.1-Մ2-3</t>
  </si>
  <si>
    <t>Տնտեսական բաժին</t>
  </si>
  <si>
    <t>46-28.3.1-Ղ4-2</t>
  </si>
  <si>
    <t>11</t>
  </si>
  <si>
    <t>10</t>
  </si>
  <si>
    <t>12</t>
  </si>
  <si>
    <t>13</t>
  </si>
  <si>
    <t>46-28.3.1-Մ2-4</t>
  </si>
  <si>
    <t>46-28.3.1-Մ2-5</t>
  </si>
  <si>
    <t>46-28.3.2-Ղ3-1</t>
  </si>
  <si>
    <t>12/4</t>
  </si>
  <si>
    <t>13/4</t>
  </si>
  <si>
    <t>46-28.3.2-Ղ4-1</t>
  </si>
  <si>
    <t>Խաչատրյան Վիկտորյա</t>
  </si>
  <si>
    <t>46-28.3.2-Մ2-1</t>
  </si>
  <si>
    <t>46-28.3.2-Մ2-2</t>
  </si>
  <si>
    <t>6/11</t>
  </si>
  <si>
    <t>5/11</t>
  </si>
  <si>
    <t>7/11</t>
  </si>
  <si>
    <t>46-28.3.2-Մ2-3</t>
  </si>
  <si>
    <t>46-28.3.4-Ղ4-1</t>
  </si>
  <si>
    <r>
      <t>46-28.3.4</t>
    </r>
    <r>
      <rPr>
        <b/>
        <sz val="10"/>
        <color indexed="8"/>
        <rFont val="GHEA Grapalat"/>
        <family val="3"/>
      </rPr>
      <t>-Մ2-1</t>
    </r>
  </si>
  <si>
    <t>4/11</t>
  </si>
  <si>
    <r>
      <t>46-28.3.4</t>
    </r>
    <r>
      <rPr>
        <b/>
        <sz val="10"/>
        <color indexed="8"/>
        <rFont val="GHEA Grapalat"/>
        <family val="3"/>
      </rPr>
      <t>-Մ2-2</t>
    </r>
  </si>
  <si>
    <t>46-28.3.3-Ղ4-1</t>
  </si>
  <si>
    <t>17/6</t>
  </si>
  <si>
    <t>18/6</t>
  </si>
  <si>
    <t>19/6</t>
  </si>
  <si>
    <t>46-28.3.3-Մ2-1</t>
  </si>
  <si>
    <t>5/6</t>
  </si>
  <si>
    <t>4/6</t>
  </si>
  <si>
    <t>6/6</t>
  </si>
  <si>
    <t>7/6</t>
  </si>
  <si>
    <t>46-28.3.3-Մ2-2</t>
  </si>
  <si>
    <t>46-28.3.3-Մ2-3</t>
  </si>
  <si>
    <t>Ընդամենը ըստ բաժին III</t>
  </si>
  <si>
    <t>Ամիրաքյան Ստեփան</t>
  </si>
  <si>
    <t>Թորոսյան Աշոտ</t>
  </si>
  <si>
    <t>Բարսեղյան Հովիկ</t>
  </si>
  <si>
    <t>Բանվոր</t>
  </si>
  <si>
    <t>Ընդամենը ըստ բաժին IV</t>
  </si>
  <si>
    <r>
      <t>*</t>
    </r>
    <r>
      <rPr>
        <sz val="12"/>
        <color indexed="8"/>
        <rFont val="GHEA Grapalat"/>
        <family val="3"/>
      </rPr>
      <t>Աշխատավարձի հաշվարկման համար բազային աշխատավարձի չափը կազմում է 83,200.0  դրամ:</t>
    </r>
  </si>
  <si>
    <t>Ձախ վանդակում նշված է բազային աշխատավարձի չափը, որում բազային աշխատավարձի նոր չափը գրելուց հետո 25-27թթ հաշվարկները կփոխվեն:</t>
  </si>
  <si>
    <r>
      <t>**</t>
    </r>
    <r>
      <rPr>
        <sz val="12"/>
        <color indexed="8"/>
        <rFont val="GHEA Grapalat"/>
        <family val="3"/>
      </rPr>
      <t>Քաղաքացիական /պետական/ ծառայողների թափուր հաստիքների պաշտոնային դրույքաչափի հաշվարկման համար կիրառել համապատասխան սանդղակի 6-րդ մակարդակում ներկայացված գործակիցը:</t>
    </r>
  </si>
  <si>
    <t>***Կարմիր գույնով նշված են այն աշխատակիցներին վերաբերող հաշվարկները, որոնց համար դեռևս պահպանվել են մինչև 2014 թվականի հուլիսի 1-ը սահմանված պաշտոնային դրույքաչափերը, իսկ գործակիցները` պաշտոնին և ստաժին համապատասխան:</t>
  </si>
  <si>
    <t>«Պետական պաշտոններ և պետական ծառայության պաշտոններ զբաղեցնող անձանց վարձատրության մասին» ՀՀ օրենքի 19-րդ հոդվածի 2-րդ մասի պահանջի կիրառման արդյունքում որոշ աշխատակիցների գործակիցները՝ տվյալ պաշտոնում աշխատանքային ստաժերին համապատասխանող գործակիցներից բարձր են:</t>
  </si>
  <si>
    <t>պարգևատրման ֆոնդը =   պաշտոնային  դրույքաչափ բազմապատկած  0,16-ի</t>
  </si>
  <si>
    <t>աշխատավարձի ֆոնդը = պարգևատրման ֆոնդ գումարած  ընդամենը տարեկան աշխատավարձ բաժանած 6-ի</t>
  </si>
  <si>
    <t>Աշխատավարձ</t>
  </si>
  <si>
    <t>Փորձագետ 8 մարդ*12*267072</t>
  </si>
  <si>
    <t>ընդամենը աշխատավարձ</t>
  </si>
  <si>
    <t>քաղ. ծառ. պարգևատրում    4113</t>
  </si>
  <si>
    <t>այլ պարգևատրում    4112</t>
  </si>
  <si>
    <t>ընդամենը պարգևատրում</t>
  </si>
  <si>
    <t>Ընդամենը աշխատանքի վարձատր.</t>
  </si>
  <si>
    <t>Պայմանավորված է դեռատիզացիայի աշխատանքների պլամավորման   հետ</t>
  </si>
  <si>
    <t xml:space="preserve"> Պայմանավորված  է դասընթացների ժամերի ավելացմամբ</t>
  </si>
  <si>
    <t>Պայմանավորված է հաստիքացուցակի փոփոխման հետ</t>
  </si>
  <si>
    <t>Հատակը մաքրելու սպունգ</t>
  </si>
  <si>
    <t>Ըստ  հաշվարկի, ինչպես նաև ավելացումը պայմանավորված է տարածքում ազդանշանային համակագի անցկացման հետ</t>
  </si>
  <si>
    <t>Թղթապանակ  ռեզինե օղակով</t>
  </si>
  <si>
    <t>Հավելված 2</t>
  </si>
  <si>
    <t>Հաշվեքննիչ պալատի 2024 թվականի  փետրվարի 29-ի թիվ  19-Լ որոշման</t>
  </si>
</sst>
</file>

<file path=xl/styles.xml><?xml version="1.0" encoding="utf-8"?>
<styleSheet xmlns="http://schemas.openxmlformats.org/spreadsheetml/2006/main">
  <numFmts count="72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 &quot;#,##0_);\(&quot; &quot;#,##0\)"/>
    <numFmt numFmtId="183" formatCode="&quot; &quot;#,##0_);[Red]\(&quot; &quot;#,##0\)"/>
    <numFmt numFmtId="184" formatCode="&quot; &quot;#,##0.00_);\(&quot; &quot;#,##0.00\)"/>
    <numFmt numFmtId="185" formatCode="&quot; &quot;#,##0.00_);[Red]\(&quot; &quot;#,##0.00\)"/>
    <numFmt numFmtId="186" formatCode="_(&quot; &quot;* #,##0_);_(&quot; &quot;* \(#,##0\);_(&quot; &quot;* &quot;-&quot;_);_(@_)"/>
    <numFmt numFmtId="187" formatCode="_(&quot; &quot;* #,##0.00_);_(&quot; &quot;* \(#,##0.00\);_(&quot; &quot;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_(* #,##0.0_);_(* \(#,##0.0\);_(* &quot;-&quot;??_);_(@_)"/>
    <numFmt numFmtId="200" formatCode="_-* #,##0.0_-;\-* #,##0.0_-;_-* &quot;-&quot;??_-;_-@_-"/>
    <numFmt numFmtId="201" formatCode="_-* #,##0_-;\-* #,##0_-;_-* &quot;-&quot;??_-;_-@_-"/>
    <numFmt numFmtId="202" formatCode="0.00000"/>
    <numFmt numFmtId="203" formatCode="0.0000"/>
    <numFmt numFmtId="204" formatCode="0.0%"/>
    <numFmt numFmtId="205" formatCode="#,##0.0_);[Red]\(#,##0.0\)"/>
    <numFmt numFmtId="206" formatCode="0.000000"/>
    <numFmt numFmtId="207" formatCode="#,##0.00000"/>
    <numFmt numFmtId="208" formatCode="0.00000000"/>
    <numFmt numFmtId="209" formatCode="_-* #,##0.0_р_._-;\-* #,##0.0_р_._-;_-* &quot;-&quot;??_р_._-;_-@_-"/>
    <numFmt numFmtId="210" formatCode="_(* #,##0.0_);_(* \(#,##0.0\);_(* &quot;-&quot;?_);_(@_)"/>
    <numFmt numFmtId="211" formatCode="_-* #,##0.00_р_._-;\-* #,##0.00_р_._-;_-* &quot;-&quot;??_р_._-;_-@_-"/>
    <numFmt numFmtId="212" formatCode="_(* #,##0.000_);_(* \(#,##0.000\);_(* &quot;-&quot;??_);_(@_)"/>
    <numFmt numFmtId="213" formatCode="_(* #,##0_);_(* \(#,##0\);_(* &quot;-&quot;??_);_(@_)"/>
    <numFmt numFmtId="214" formatCode="_([$€-2]* #,##0.00_);_([$€-2]* \(#,##0.00\);_([$€-2]* &quot;-&quot;??_)"/>
    <numFmt numFmtId="215" formatCode="##,##0;\(##,##0\);\-"/>
    <numFmt numFmtId="216" formatCode="##,##0.00;\(##,##0.00\);\-"/>
    <numFmt numFmtId="217" formatCode="_-* #,##0.0\ _₽_-;\-* #,##0.0\ _₽_-;_-* &quot;-&quot;?\ _₽_-;_-@_-"/>
    <numFmt numFmtId="218" formatCode="0.00000000000000"/>
    <numFmt numFmtId="219" formatCode="0.000000000"/>
    <numFmt numFmtId="220" formatCode="0_);[Red]\(0\)"/>
    <numFmt numFmtId="221" formatCode="###0"/>
    <numFmt numFmtId="222" formatCode="0.0000000000000"/>
    <numFmt numFmtId="223" formatCode="0.000000000000"/>
    <numFmt numFmtId="224" formatCode="0.00000000000"/>
    <numFmt numFmtId="225" formatCode="0.0000000000"/>
    <numFmt numFmtId="226" formatCode="0.0000000"/>
    <numFmt numFmtId="227" formatCode="_-* #,##0.00000000000\ _₽_-;\-* #,##0.00000000000\ _₽_-;_-* &quot;-&quot;?\ _₽_-;_-@_-"/>
  </numFmts>
  <fonts count="1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5"/>
      <name val="GHEA Grapalat"/>
      <family val="3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u val="single"/>
      <sz val="12"/>
      <name val="GHEA Grapalat"/>
      <family val="3"/>
    </font>
    <font>
      <b/>
      <sz val="12"/>
      <name val="GHEA Grapalat"/>
      <family val="3"/>
    </font>
    <font>
      <i/>
      <sz val="9"/>
      <name val="GHEA Grapalat"/>
      <family val="3"/>
    </font>
    <font>
      <b/>
      <sz val="10"/>
      <color indexed="10"/>
      <name val="GHEA Grapalat"/>
      <family val="3"/>
    </font>
    <font>
      <u val="single"/>
      <sz val="9"/>
      <name val="GHEA Grapalat"/>
      <family val="3"/>
    </font>
    <font>
      <sz val="10"/>
      <name val="Arial Armenian"/>
      <family val="2"/>
    </font>
    <font>
      <sz val="10"/>
      <color indexed="8"/>
      <name val="MS Sans Serif"/>
      <family val="2"/>
    </font>
    <font>
      <sz val="10"/>
      <name val="Times Armenian"/>
      <family val="1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u val="single"/>
      <vertAlign val="superscript"/>
      <sz val="12"/>
      <name val="GHEA Grapalat"/>
      <family val="3"/>
    </font>
    <font>
      <b/>
      <i/>
      <sz val="12"/>
      <name val="GHEA Grapalat"/>
      <family val="3"/>
    </font>
    <font>
      <sz val="12"/>
      <name val="Arial"/>
      <family val="2"/>
    </font>
    <font>
      <sz val="10"/>
      <color indexed="8"/>
      <name val="GHEA Grapalat"/>
      <family val="3"/>
    </font>
    <font>
      <b/>
      <sz val="12"/>
      <name val="Arial"/>
      <family val="2"/>
    </font>
    <font>
      <sz val="11"/>
      <name val="GHEA Grapalat"/>
      <family val="2"/>
    </font>
    <font>
      <b/>
      <i/>
      <vertAlign val="superscript"/>
      <sz val="10"/>
      <name val="GHEA Grapalat"/>
      <family val="3"/>
    </font>
    <font>
      <b/>
      <sz val="11"/>
      <color indexed="10"/>
      <name val="GHEA Grapalat"/>
      <family val="3"/>
    </font>
    <font>
      <i/>
      <sz val="11"/>
      <name val="GHEA Grapalat"/>
      <family val="3"/>
    </font>
    <font>
      <vertAlign val="superscript"/>
      <sz val="9"/>
      <name val="GHEA Grapalat"/>
      <family val="3"/>
    </font>
    <font>
      <b/>
      <sz val="9"/>
      <name val="Tahoma"/>
      <family val="2"/>
    </font>
    <font>
      <b/>
      <sz val="10"/>
      <color indexed="8"/>
      <name val="GHEA Grapalat"/>
      <family val="3"/>
    </font>
    <font>
      <sz val="11"/>
      <color indexed="8"/>
      <name val="GHEA Grapalat"/>
      <family val="3"/>
    </font>
    <font>
      <sz val="12"/>
      <name val="Arial Unicode"/>
      <family val="2"/>
    </font>
    <font>
      <b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sz val="11"/>
      <color indexed="8"/>
      <name val="Calibri"/>
      <family val="2"/>
    </font>
    <font>
      <u val="single"/>
      <sz val="11"/>
      <name val="GHEA Grapalat"/>
      <family val="3"/>
    </font>
    <font>
      <sz val="9"/>
      <color indexed="8"/>
      <name val="Arial Unicode"/>
      <family val="2"/>
    </font>
    <font>
      <u val="single"/>
      <sz val="8"/>
      <name val="GHEA Grapalat"/>
      <family val="3"/>
    </font>
    <font>
      <b/>
      <u val="single"/>
      <sz val="10"/>
      <name val="GHEA Grapalat"/>
      <family val="3"/>
    </font>
    <font>
      <sz val="6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 Armenian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10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Arial"/>
      <family val="2"/>
    </font>
    <font>
      <sz val="12"/>
      <color indexed="17"/>
      <name val="Arial"/>
      <family val="2"/>
    </font>
    <font>
      <sz val="12"/>
      <color indexed="10"/>
      <name val="GHEA Grapalat"/>
      <family val="3"/>
    </font>
    <font>
      <b/>
      <i/>
      <sz val="12"/>
      <color indexed="8"/>
      <name val="GHEA Grapalat"/>
      <family val="3"/>
    </font>
    <font>
      <u val="single"/>
      <sz val="12"/>
      <color indexed="8"/>
      <name val="GHEA Grapalat"/>
      <family val="3"/>
    </font>
    <font>
      <sz val="9"/>
      <color indexed="8"/>
      <name val="GHEA Grapalat"/>
      <family val="3"/>
    </font>
    <font>
      <sz val="11"/>
      <color indexed="8"/>
      <name val="Arial"/>
      <family val="2"/>
    </font>
    <font>
      <sz val="8"/>
      <color indexed="8"/>
      <name val="GHEA Grapalat"/>
      <family val="3"/>
    </font>
    <font>
      <sz val="12"/>
      <color indexed="8"/>
      <name val="GHEA Mariam"/>
      <family val="3"/>
    </font>
    <font>
      <sz val="11"/>
      <color indexed="10"/>
      <name val="GHEA Grapalat"/>
      <family val="3"/>
    </font>
    <font>
      <sz val="10"/>
      <color indexed="10"/>
      <name val="Arial"/>
      <family val="2"/>
    </font>
    <font>
      <sz val="10"/>
      <color indexed="10"/>
      <name val="GHEA Grapalat"/>
      <family val="3"/>
    </font>
    <font>
      <b/>
      <vertAlign val="superscript"/>
      <sz val="11"/>
      <color indexed="10"/>
      <name val="Arial"/>
      <family val="2"/>
    </font>
    <font>
      <b/>
      <sz val="9"/>
      <color indexed="10"/>
      <name val="GHEA Grapalat"/>
      <family val="3"/>
    </font>
    <font>
      <b/>
      <vertAlign val="superscript"/>
      <sz val="12"/>
      <color indexed="10"/>
      <name val="GHEA Grapalat"/>
      <family val="3"/>
    </font>
    <font>
      <sz val="12"/>
      <color indexed="8"/>
      <name val="Arial Unicode"/>
      <family val="2"/>
    </font>
    <font>
      <b/>
      <i/>
      <u val="single"/>
      <sz val="12"/>
      <color indexed="8"/>
      <name val="GHEA Grapalat"/>
      <family val="3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GHEA Mariam"/>
      <family val="3"/>
    </font>
    <font>
      <b/>
      <sz val="16"/>
      <color indexed="8"/>
      <name val="GHEA Grapalat"/>
      <family val="3"/>
    </font>
    <font>
      <i/>
      <sz val="10"/>
      <color indexed="8"/>
      <name val="GHEA Grapalat"/>
      <family val="3"/>
    </font>
    <font>
      <b/>
      <sz val="9"/>
      <color indexed="8"/>
      <name val="GHEA Grapalat"/>
      <family val="3"/>
    </font>
    <font>
      <u val="single"/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Armeni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GHEA Grapalat"/>
      <family val="3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2"/>
      <color theme="1"/>
      <name val="Arial"/>
      <family val="2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2"/>
      <color rgb="FF000000"/>
      <name val="GHEA Grapalat"/>
      <family val="3"/>
    </font>
    <font>
      <b/>
      <sz val="12"/>
      <color rgb="FFFF0000"/>
      <name val="GHEA Grapalat"/>
      <family val="3"/>
    </font>
    <font>
      <sz val="12"/>
      <color rgb="FF00B050"/>
      <name val="Arial"/>
      <family val="2"/>
    </font>
    <font>
      <b/>
      <sz val="12"/>
      <color rgb="FFC00000"/>
      <name val="GHEA Grapalat"/>
      <family val="3"/>
    </font>
    <font>
      <sz val="12"/>
      <color rgb="FFFF0000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  <font>
      <u val="single"/>
      <sz val="12"/>
      <color theme="1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1"/>
      <color theme="1"/>
      <name val="Arial"/>
      <family val="2"/>
    </font>
    <font>
      <sz val="8"/>
      <color theme="1"/>
      <name val="GHEA Grapalat"/>
      <family val="3"/>
    </font>
    <font>
      <sz val="12"/>
      <color theme="1"/>
      <name val="GHEA Mariam"/>
      <family val="3"/>
    </font>
    <font>
      <sz val="11"/>
      <color rgb="FFFF0000"/>
      <name val="GHEA Grapalat"/>
      <family val="3"/>
    </font>
    <font>
      <sz val="10"/>
      <color rgb="FFFF0000"/>
      <name val="Arial"/>
      <family val="2"/>
    </font>
    <font>
      <sz val="10"/>
      <color rgb="FFFF0000"/>
      <name val="GHEA Grapalat"/>
      <family val="3"/>
    </font>
    <font>
      <b/>
      <sz val="10"/>
      <color rgb="FFFF0000"/>
      <name val="GHEA Grapalat"/>
      <family val="3"/>
    </font>
    <font>
      <b/>
      <vertAlign val="superscript"/>
      <sz val="11"/>
      <color rgb="FFFF0000"/>
      <name val="Arial"/>
      <family val="2"/>
    </font>
    <font>
      <b/>
      <sz val="9"/>
      <color rgb="FFFF0000"/>
      <name val="GHEA Grapalat"/>
      <family val="3"/>
    </font>
    <font>
      <b/>
      <vertAlign val="superscript"/>
      <sz val="12"/>
      <color rgb="FFFF0000"/>
      <name val="GHEA Grapalat"/>
      <family val="3"/>
    </font>
    <font>
      <sz val="12"/>
      <color rgb="FF000000"/>
      <name val="GHEA Grapalat"/>
      <family val="3"/>
    </font>
    <font>
      <sz val="12"/>
      <color theme="1"/>
      <name val="Arial Unicode"/>
      <family val="2"/>
    </font>
    <font>
      <b/>
      <i/>
      <u val="single"/>
      <sz val="12"/>
      <color theme="1"/>
      <name val="GHEA Grapalat"/>
      <family val="3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GHEA Mariam"/>
      <family val="3"/>
    </font>
    <font>
      <b/>
      <sz val="16"/>
      <color theme="1"/>
      <name val="GHEA Grapalat"/>
      <family val="3"/>
    </font>
    <font>
      <sz val="10"/>
      <color rgb="FFC00000"/>
      <name val="GHEA Grapalat"/>
      <family val="3"/>
    </font>
    <font>
      <sz val="12"/>
      <color rgb="FFC00000"/>
      <name val="GHEA Grapalat"/>
      <family val="3"/>
    </font>
    <font>
      <i/>
      <sz val="10"/>
      <color theme="1"/>
      <name val="GHEA Grapalat"/>
      <family val="3"/>
    </font>
    <font>
      <b/>
      <sz val="9"/>
      <color theme="1"/>
      <name val="GHEA Grapalat"/>
      <family val="3"/>
    </font>
    <font>
      <u val="single"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i/>
      <sz val="9"/>
      <color theme="1"/>
      <name val="GHEA Grapalat"/>
      <family val="3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>
        <color rgb="FFACC8BD"/>
      </left>
      <right>
        <color indexed="63"/>
      </right>
      <top style="thin">
        <color rgb="FFACC8BD"/>
      </top>
      <bottom style="thin">
        <color rgb="FFACC8BD"/>
      </bottom>
    </border>
    <border>
      <left style="thin">
        <color rgb="FFACC8BD"/>
      </left>
      <right style="thin">
        <color rgb="FFACC8BD"/>
      </right>
      <top style="thin">
        <color rgb="FFACC8BD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28" fillId="0" borderId="0" applyFont="0" applyFill="0" applyBorder="0" applyAlignment="0" applyProtection="0"/>
    <xf numFmtId="173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214" fontId="14" fillId="0" borderId="0" applyFill="0" applyBorder="0" applyProtection="0">
      <alignment horizontal="right" vertical="top"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3" fontId="0" fillId="0" borderId="0" applyFont="0" applyFill="0" applyBorder="0" applyAlignment="0" applyProtection="0"/>
    <xf numFmtId="173" fontId="28" fillId="0" borderId="0" applyFont="0" applyFill="0" applyBorder="0" applyAlignment="0" applyProtection="0"/>
    <xf numFmtId="181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00" fillId="0" borderId="0" applyFont="0" applyFill="0" applyBorder="0" applyAlignment="0" applyProtection="0"/>
  </cellStyleXfs>
  <cellXfs count="1164">
    <xf numFmtId="0" fontId="0" fillId="0" borderId="0" xfId="0" applyAlignment="1">
      <alignment/>
    </xf>
    <xf numFmtId="0" fontId="9" fillId="33" borderId="0" xfId="0" applyFont="1" applyFill="1" applyBorder="1" applyAlignment="1">
      <alignment horizontal="centerContinuous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Continuous" wrapText="1"/>
    </xf>
    <xf numFmtId="0" fontId="14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11" fillId="33" borderId="10" xfId="0" applyFont="1" applyFill="1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4" fillId="0" borderId="11" xfId="0" applyFont="1" applyBorder="1" applyAlignment="1">
      <alignment horizontal="centerContinuous" wrapText="1"/>
    </xf>
    <xf numFmtId="0" fontId="14" fillId="33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Continuous" wrapText="1"/>
    </xf>
    <xf numFmtId="0" fontId="15" fillId="0" borderId="0" xfId="0" applyFont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0" fontId="15" fillId="33" borderId="0" xfId="0" applyFont="1" applyFill="1" applyAlignment="1">
      <alignment wrapText="1"/>
    </xf>
    <xf numFmtId="0" fontId="10" fillId="33" borderId="0" xfId="0" applyFont="1" applyFill="1" applyAlignment="1">
      <alignment horizontal="centerContinuous" wrapText="1"/>
    </xf>
    <xf numFmtId="0" fontId="15" fillId="33" borderId="0" xfId="0" applyFont="1" applyFill="1" applyAlignment="1">
      <alignment horizontal="centerContinuous" wrapText="1"/>
    </xf>
    <xf numFmtId="0" fontId="14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188" fontId="15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Continuous" wrapText="1"/>
    </xf>
    <xf numFmtId="0" fontId="9" fillId="33" borderId="0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centerContinuous"/>
    </xf>
    <xf numFmtId="188" fontId="18" fillId="0" borderId="11" xfId="0" applyNumberFormat="1" applyFont="1" applyBorder="1" applyAlignment="1">
      <alignment horizontal="center" wrapText="1"/>
    </xf>
    <xf numFmtId="0" fontId="15" fillId="33" borderId="0" xfId="0" applyFont="1" applyFill="1" applyBorder="1" applyAlignment="1">
      <alignment horizontal="centerContinuous" wrapText="1"/>
    </xf>
    <xf numFmtId="0" fontId="15" fillId="0" borderId="11" xfId="0" applyFont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188" fontId="15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Continuous" wrapText="1"/>
    </xf>
    <xf numFmtId="0" fontId="18" fillId="33" borderId="0" xfId="0" applyFont="1" applyFill="1" applyBorder="1" applyAlignment="1">
      <alignment horizontal="center" vertical="distributed" wrapText="1" readingOrder="1"/>
    </xf>
    <xf numFmtId="188" fontId="18" fillId="33" borderId="0" xfId="0" applyNumberFormat="1" applyFont="1" applyFill="1" applyBorder="1" applyAlignment="1">
      <alignment horizontal="center" vertical="distributed" wrapText="1" readingOrder="1"/>
    </xf>
    <xf numFmtId="188" fontId="15" fillId="33" borderId="0" xfId="0" applyNumberFormat="1" applyFont="1" applyFill="1" applyBorder="1" applyAlignment="1">
      <alignment horizontal="centerContinuous" wrapText="1"/>
    </xf>
    <xf numFmtId="0" fontId="13" fillId="33" borderId="0" xfId="0" applyFont="1" applyFill="1" applyAlignment="1">
      <alignment horizontal="centerContinuous"/>
    </xf>
    <xf numFmtId="0" fontId="10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left" wrapText="1"/>
    </xf>
    <xf numFmtId="0" fontId="21" fillId="33" borderId="0" xfId="0" applyFont="1" applyFill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5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Continuous" wrapText="1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9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 wrapText="1"/>
    </xf>
    <xf numFmtId="2" fontId="12" fillId="33" borderId="0" xfId="0" applyNumberFormat="1" applyFont="1" applyFill="1" applyAlignment="1">
      <alignment horizontal="centerContinuous" wrapText="1"/>
    </xf>
    <xf numFmtId="0" fontId="118" fillId="0" borderId="11" xfId="0" applyFont="1" applyBorder="1" applyAlignment="1">
      <alignment horizontal="center"/>
    </xf>
    <xf numFmtId="188" fontId="118" fillId="0" borderId="11" xfId="0" applyNumberFormat="1" applyFont="1" applyBorder="1" applyAlignment="1">
      <alignment horizontal="center"/>
    </xf>
    <xf numFmtId="0" fontId="10" fillId="10" borderId="11" xfId="0" applyFont="1" applyFill="1" applyBorder="1" applyAlignment="1">
      <alignment horizontal="center"/>
    </xf>
    <xf numFmtId="0" fontId="10" fillId="10" borderId="11" xfId="0" applyFont="1" applyFill="1" applyBorder="1" applyAlignment="1">
      <alignment horizontal="center" wrapText="1"/>
    </xf>
    <xf numFmtId="0" fontId="22" fillId="10" borderId="11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0" fillId="12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88" fontId="19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8" fontId="13" fillId="34" borderId="11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justify" vertical="center" wrapText="1"/>
    </xf>
    <xf numFmtId="0" fontId="10" fillId="33" borderId="11" xfId="0" applyFont="1" applyFill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23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Continuous" wrapText="1"/>
    </xf>
    <xf numFmtId="0" fontId="9" fillId="34" borderId="0" xfId="0" applyFont="1" applyFill="1" applyBorder="1" applyAlignment="1">
      <alignment wrapText="1"/>
    </xf>
    <xf numFmtId="203" fontId="118" fillId="0" borderId="11" xfId="0" applyNumberFormat="1" applyFont="1" applyBorder="1" applyAlignment="1">
      <alignment horizontal="center"/>
    </xf>
    <xf numFmtId="0" fontId="2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0" fontId="21" fillId="33" borderId="11" xfId="0" applyFont="1" applyFill="1" applyBorder="1" applyAlignment="1">
      <alignment horizontal="centerContinuous" wrapText="1"/>
    </xf>
    <xf numFmtId="0" fontId="119" fillId="0" borderId="16" xfId="83" applyFont="1" applyBorder="1" applyAlignment="1">
      <alignment horizontal="left" vertical="top"/>
      <protection/>
    </xf>
    <xf numFmtId="0" fontId="119" fillId="0" borderId="17" xfId="83" applyFont="1" applyBorder="1" applyAlignment="1">
      <alignment horizontal="left" vertical="top"/>
      <protection/>
    </xf>
    <xf numFmtId="0" fontId="119" fillId="0" borderId="13" xfId="83" applyFont="1" applyBorder="1" applyAlignment="1">
      <alignment horizontal="left" vertical="top" wrapText="1"/>
      <protection/>
    </xf>
    <xf numFmtId="0" fontId="120" fillId="0" borderId="11" xfId="0" applyFont="1" applyBorder="1" applyAlignment="1">
      <alignment horizontal="left" wrapText="1"/>
    </xf>
    <xf numFmtId="0" fontId="119" fillId="0" borderId="11" xfId="0" applyFont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22" fillId="33" borderId="0" xfId="0" applyFont="1" applyFill="1" applyBorder="1" applyAlignment="1">
      <alignment horizontal="centerContinuous" wrapText="1"/>
    </xf>
    <xf numFmtId="0" fontId="12" fillId="33" borderId="0" xfId="0" applyFont="1" applyFill="1" applyAlignment="1">
      <alignment wrapText="1"/>
    </xf>
    <xf numFmtId="0" fontId="12" fillId="0" borderId="11" xfId="0" applyFont="1" applyBorder="1" applyAlignment="1">
      <alignment horizontal="left" wrapText="1"/>
    </xf>
    <xf numFmtId="0" fontId="119" fillId="0" borderId="11" xfId="0" applyFont="1" applyBorder="1" applyAlignment="1">
      <alignment horizontal="left" vertical="top" wrapText="1"/>
    </xf>
    <xf numFmtId="0" fontId="119" fillId="0" borderId="13" xfId="0" applyFont="1" applyBorder="1" applyAlignment="1">
      <alignment horizontal="left" vertical="top" wrapText="1"/>
    </xf>
    <xf numFmtId="0" fontId="119" fillId="0" borderId="13" xfId="0" applyFont="1" applyBorder="1" applyAlignment="1">
      <alignment horizontal="left" wrapText="1"/>
    </xf>
    <xf numFmtId="0" fontId="120" fillId="0" borderId="13" xfId="0" applyFont="1" applyBorder="1" applyAlignment="1">
      <alignment horizontal="left" wrapText="1"/>
    </xf>
    <xf numFmtId="0" fontId="121" fillId="0" borderId="18" xfId="0" applyFont="1" applyBorder="1" applyAlignment="1">
      <alignment horizontal="left" vertical="top" wrapText="1"/>
    </xf>
    <xf numFmtId="0" fontId="12" fillId="33" borderId="0" xfId="0" applyFont="1" applyFill="1" applyBorder="1" applyAlignment="1">
      <alignment horizontal="centerContinuous" wrapText="1"/>
    </xf>
    <xf numFmtId="0" fontId="12" fillId="33" borderId="0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19" fillId="0" borderId="11" xfId="0" applyFont="1" applyBorder="1" applyAlignment="1">
      <alignment horizontal="left" vertical="center"/>
    </xf>
    <xf numFmtId="0" fontId="22" fillId="33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center" wrapText="1"/>
    </xf>
    <xf numFmtId="188" fontId="22" fillId="33" borderId="11" xfId="0" applyNumberFormat="1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 wrapText="1"/>
    </xf>
    <xf numFmtId="0" fontId="10" fillId="33" borderId="0" xfId="0" applyFont="1" applyFill="1" applyAlignment="1">
      <alignment horizontal="left" wrapText="1"/>
    </xf>
    <xf numFmtId="0" fontId="25" fillId="33" borderId="0" xfId="0" applyFont="1" applyFill="1" applyBorder="1" applyAlignment="1">
      <alignment horizontal="center" vertical="top" wrapText="1"/>
    </xf>
    <xf numFmtId="188" fontId="22" fillId="33" borderId="11" xfId="0" applyNumberFormat="1" applyFont="1" applyFill="1" applyBorder="1" applyAlignment="1">
      <alignment horizontal="center" wrapText="1"/>
    </xf>
    <xf numFmtId="188" fontId="19" fillId="10" borderId="11" xfId="0" applyNumberFormat="1" applyFont="1" applyFill="1" applyBorder="1" applyAlignment="1">
      <alignment horizontal="center" wrapText="1"/>
    </xf>
    <xf numFmtId="0" fontId="12" fillId="0" borderId="11" xfId="0" applyFont="1" applyBorder="1" applyAlignment="1">
      <alignment horizontal="left" vertical="center"/>
    </xf>
    <xf numFmtId="2" fontId="12" fillId="33" borderId="11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wrapText="1"/>
    </xf>
    <xf numFmtId="0" fontId="122" fillId="34" borderId="0" xfId="0" applyFont="1" applyFill="1" applyBorder="1" applyAlignment="1">
      <alignment horizontal="center"/>
    </xf>
    <xf numFmtId="0" fontId="122" fillId="34" borderId="0" xfId="0" applyFont="1" applyFill="1" applyBorder="1" applyAlignment="1">
      <alignment/>
    </xf>
    <xf numFmtId="188" fontId="123" fillId="34" borderId="11" xfId="87" applyNumberFormat="1" applyFont="1" applyFill="1" applyBorder="1" applyAlignment="1">
      <alignment horizontal="center" vertical="center"/>
      <protection/>
    </xf>
    <xf numFmtId="0" fontId="22" fillId="0" borderId="11" xfId="0" applyFont="1" applyBorder="1" applyAlignment="1">
      <alignment horizontal="left"/>
    </xf>
    <xf numFmtId="1" fontId="22" fillId="0" borderId="11" xfId="0" applyNumberFormat="1" applyFont="1" applyBorder="1" applyAlignment="1">
      <alignment horizontal="left"/>
    </xf>
    <xf numFmtId="188" fontId="22" fillId="0" borderId="11" xfId="0" applyNumberFormat="1" applyFont="1" applyBorder="1" applyAlignment="1">
      <alignment horizontal="left"/>
    </xf>
    <xf numFmtId="0" fontId="22" fillId="4" borderId="11" xfId="0" applyFont="1" applyFill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top" wrapText="1"/>
    </xf>
    <xf numFmtId="49" fontId="124" fillId="34" borderId="11" xfId="81" applyNumberFormat="1" applyFont="1" applyFill="1" applyBorder="1" applyAlignment="1">
      <alignment horizontal="left" vertical="center" wrapText="1"/>
      <protection/>
    </xf>
    <xf numFmtId="188" fontId="122" fillId="34" borderId="11" xfId="0" applyNumberFormat="1" applyFont="1" applyFill="1" applyBorder="1" applyAlignment="1">
      <alignment horizontal="left" vertical="center"/>
    </xf>
    <xf numFmtId="0" fontId="122" fillId="34" borderId="11" xfId="0" applyFont="1" applyFill="1" applyBorder="1" applyAlignment="1">
      <alignment horizontal="left" vertical="center"/>
    </xf>
    <xf numFmtId="1" fontId="122" fillId="0" borderId="11" xfId="0" applyNumberFormat="1" applyFont="1" applyBorder="1" applyAlignment="1">
      <alignment horizontal="left" vertical="center"/>
    </xf>
    <xf numFmtId="1" fontId="124" fillId="34" borderId="11" xfId="81" applyNumberFormat="1" applyFont="1" applyFill="1" applyBorder="1" applyAlignment="1">
      <alignment horizontal="left" vertical="center" wrapText="1"/>
      <protection/>
    </xf>
    <xf numFmtId="0" fontId="124" fillId="34" borderId="11" xfId="81" applyNumberFormat="1" applyFont="1" applyFill="1" applyBorder="1" applyAlignment="1">
      <alignment horizontal="left" vertical="center" wrapText="1"/>
      <protection/>
    </xf>
    <xf numFmtId="188" fontId="122" fillId="4" borderId="11" xfId="0" applyNumberFormat="1" applyFont="1" applyFill="1" applyBorder="1" applyAlignment="1">
      <alignment horizontal="left" vertical="center"/>
    </xf>
    <xf numFmtId="1" fontId="33" fillId="0" borderId="18" xfId="0" applyNumberFormat="1" applyFont="1" applyBorder="1" applyAlignment="1">
      <alignment horizontal="left" vertical="top"/>
    </xf>
    <xf numFmtId="0" fontId="119" fillId="4" borderId="11" xfId="0" applyFont="1" applyFill="1" applyBorder="1" applyAlignment="1">
      <alignment horizontal="left" vertical="center"/>
    </xf>
    <xf numFmtId="1" fontId="122" fillId="0" borderId="11" xfId="0" applyNumberFormat="1" applyFont="1" applyBorder="1" applyAlignment="1">
      <alignment horizontal="left"/>
    </xf>
    <xf numFmtId="0" fontId="22" fillId="4" borderId="14" xfId="0" applyFont="1" applyFill="1" applyBorder="1" applyAlignment="1">
      <alignment horizontal="left" wrapText="1"/>
    </xf>
    <xf numFmtId="188" fontId="22" fillId="0" borderId="11" xfId="0" applyNumberFormat="1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122" fillId="4" borderId="14" xfId="0" applyFont="1" applyFill="1" applyBorder="1" applyAlignment="1">
      <alignment horizontal="left" wrapText="1"/>
    </xf>
    <xf numFmtId="49" fontId="122" fillId="34" borderId="11" xfId="81" applyNumberFormat="1" applyFont="1" applyFill="1" applyBorder="1" applyAlignment="1">
      <alignment horizontal="left" vertical="center" wrapText="1"/>
      <protection/>
    </xf>
    <xf numFmtId="188" fontId="122" fillId="0" borderId="11" xfId="0" applyNumberFormat="1" applyFont="1" applyBorder="1" applyAlignment="1">
      <alignment horizontal="left" vertical="center"/>
    </xf>
    <xf numFmtId="0" fontId="122" fillId="0" borderId="11" xfId="0" applyFont="1" applyBorder="1" applyAlignment="1">
      <alignment horizontal="left" vertical="center"/>
    </xf>
    <xf numFmtId="0" fontId="122" fillId="0" borderId="11" xfId="0" applyFont="1" applyBorder="1" applyAlignment="1">
      <alignment horizontal="left"/>
    </xf>
    <xf numFmtId="0" fontId="122" fillId="34" borderId="11" xfId="81" applyNumberFormat="1" applyFont="1" applyFill="1" applyBorder="1" applyAlignment="1">
      <alignment horizontal="left" vertical="center" wrapText="1"/>
      <protection/>
    </xf>
    <xf numFmtId="0" fontId="122" fillId="34" borderId="11" xfId="102" applyFont="1" applyFill="1" applyBorder="1" applyAlignment="1">
      <alignment horizontal="left" vertical="center" wrapText="1"/>
      <protection/>
    </xf>
    <xf numFmtId="49" fontId="22" fillId="34" borderId="11" xfId="81" applyNumberFormat="1" applyFont="1" applyFill="1" applyBorder="1" applyAlignment="1">
      <alignment horizontal="left" vertical="center" wrapText="1"/>
      <protection/>
    </xf>
    <xf numFmtId="0" fontId="30" fillId="34" borderId="11" xfId="102" applyFont="1" applyFill="1" applyBorder="1" applyAlignment="1">
      <alignment horizontal="left" vertical="center" wrapText="1"/>
      <protection/>
    </xf>
    <xf numFmtId="49" fontId="124" fillId="34" borderId="12" xfId="81" applyNumberFormat="1" applyFont="1" applyFill="1" applyBorder="1" applyAlignment="1">
      <alignment horizontal="left" vertical="center" wrapText="1"/>
      <protection/>
    </xf>
    <xf numFmtId="0" fontId="121" fillId="0" borderId="11" xfId="0" applyFont="1" applyBorder="1" applyAlignment="1">
      <alignment horizontal="left" vertical="top" wrapText="1"/>
    </xf>
    <xf numFmtId="0" fontId="125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126" fillId="0" borderId="11" xfId="0" applyFont="1" applyBorder="1" applyAlignment="1">
      <alignment horizontal="left" vertical="top" wrapText="1"/>
    </xf>
    <xf numFmtId="0" fontId="121" fillId="0" borderId="19" xfId="0" applyFont="1" applyBorder="1" applyAlignment="1">
      <alignment horizontal="left" vertical="top" wrapText="1"/>
    </xf>
    <xf numFmtId="1" fontId="122" fillId="34" borderId="11" xfId="81" applyNumberFormat="1" applyFont="1" applyFill="1" applyBorder="1" applyAlignment="1">
      <alignment horizontal="left" vertical="center" wrapText="1"/>
      <protection/>
    </xf>
    <xf numFmtId="1" fontId="35" fillId="0" borderId="11" xfId="0" applyNumberFormat="1" applyFont="1" applyBorder="1" applyAlignment="1">
      <alignment horizontal="left"/>
    </xf>
    <xf numFmtId="0" fontId="30" fillId="34" borderId="12" xfId="102" applyFont="1" applyFill="1" applyBorder="1" applyAlignment="1">
      <alignment horizontal="left" vertical="center" wrapText="1"/>
      <protection/>
    </xf>
    <xf numFmtId="0" fontId="122" fillId="0" borderId="11" xfId="0" applyFont="1" applyFill="1" applyBorder="1" applyAlignment="1">
      <alignment horizontal="left"/>
    </xf>
    <xf numFmtId="0" fontId="122" fillId="0" borderId="11" xfId="0" applyFont="1" applyFill="1" applyBorder="1" applyAlignment="1">
      <alignment horizontal="left" vertical="center"/>
    </xf>
    <xf numFmtId="0" fontId="33" fillId="0" borderId="20" xfId="0" applyFont="1" applyBorder="1" applyAlignment="1">
      <alignment horizontal="left" vertical="top" wrapText="1"/>
    </xf>
    <xf numFmtId="0" fontId="122" fillId="0" borderId="12" xfId="0" applyFont="1" applyBorder="1" applyAlignment="1">
      <alignment horizontal="left"/>
    </xf>
    <xf numFmtId="0" fontId="33" fillId="0" borderId="12" xfId="0" applyFont="1" applyBorder="1" applyAlignment="1">
      <alignment horizontal="left" vertical="top" wrapText="1"/>
    </xf>
    <xf numFmtId="0" fontId="127" fillId="0" borderId="11" xfId="0" applyFont="1" applyBorder="1" applyAlignment="1">
      <alignment horizontal="left"/>
    </xf>
    <xf numFmtId="1" fontId="127" fillId="0" borderId="11" xfId="0" applyNumberFormat="1" applyFont="1" applyBorder="1" applyAlignment="1">
      <alignment horizontal="left"/>
    </xf>
    <xf numFmtId="0" fontId="122" fillId="34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horizontal="left"/>
    </xf>
    <xf numFmtId="188" fontId="12" fillId="0" borderId="0" xfId="0" applyNumberFormat="1" applyFont="1" applyAlignment="1">
      <alignment/>
    </xf>
    <xf numFmtId="0" fontId="119" fillId="0" borderId="12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center" wrapText="1"/>
    </xf>
    <xf numFmtId="188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88" fontId="12" fillId="0" borderId="11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188" fontId="12" fillId="0" borderId="11" xfId="0" applyNumberFormat="1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center" vertical="top" wrapText="1"/>
    </xf>
    <xf numFmtId="0" fontId="119" fillId="0" borderId="12" xfId="0" applyFont="1" applyFill="1" applyBorder="1" applyAlignment="1">
      <alignment horizontal="left" vertical="top" wrapText="1"/>
    </xf>
    <xf numFmtId="0" fontId="119" fillId="0" borderId="15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left" vertical="top" wrapText="1"/>
    </xf>
    <xf numFmtId="0" fontId="120" fillId="0" borderId="21" xfId="0" applyFont="1" applyFill="1" applyBorder="1" applyAlignment="1">
      <alignment horizontal="center" vertical="top" wrapText="1"/>
    </xf>
    <xf numFmtId="188" fontId="12" fillId="0" borderId="0" xfId="0" applyNumberFormat="1" applyFont="1" applyFill="1" applyAlignment="1">
      <alignment/>
    </xf>
    <xf numFmtId="0" fontId="120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left" vertical="top" wrapText="1"/>
    </xf>
    <xf numFmtId="188" fontId="128" fillId="0" borderId="11" xfId="0" applyNumberFormat="1" applyFont="1" applyFill="1" applyBorder="1" applyAlignment="1">
      <alignment horizontal="center" vertical="center" wrapText="1"/>
    </xf>
    <xf numFmtId="188" fontId="128" fillId="0" borderId="11" xfId="0" applyNumberFormat="1" applyFont="1" applyFill="1" applyBorder="1" applyAlignment="1">
      <alignment horizontal="center" wrapText="1"/>
    </xf>
    <xf numFmtId="0" fontId="119" fillId="0" borderId="11" xfId="0" applyFont="1" applyFill="1" applyBorder="1" applyAlignment="1">
      <alignment horizontal="left" vertical="center" wrapText="1"/>
    </xf>
    <xf numFmtId="0" fontId="119" fillId="0" borderId="11" xfId="0" applyFont="1" applyFill="1" applyBorder="1" applyAlignment="1">
      <alignment horizontal="left" vertical="center"/>
    </xf>
    <xf numFmtId="2" fontId="12" fillId="0" borderId="11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Continuous" wrapText="1"/>
    </xf>
    <xf numFmtId="0" fontId="12" fillId="33" borderId="10" xfId="0" applyFont="1" applyFill="1" applyBorder="1" applyAlignment="1">
      <alignment/>
    </xf>
    <xf numFmtId="0" fontId="22" fillId="33" borderId="0" xfId="0" applyFont="1" applyFill="1" applyAlignment="1">
      <alignment horizontal="center" wrapText="1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33" borderId="30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33" borderId="31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88" fontId="12" fillId="0" borderId="23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36" borderId="37" xfId="0" applyFont="1" applyFill="1" applyBorder="1" applyAlignment="1">
      <alignment wrapText="1"/>
    </xf>
    <xf numFmtId="0" fontId="22" fillId="36" borderId="37" xfId="0" applyFont="1" applyFill="1" applyBorder="1" applyAlignment="1">
      <alignment horizontal="left" wrapText="1"/>
    </xf>
    <xf numFmtId="0" fontId="22" fillId="36" borderId="37" xfId="0" applyFont="1" applyFill="1" applyBorder="1" applyAlignment="1">
      <alignment horizontal="center" vertical="center"/>
    </xf>
    <xf numFmtId="188" fontId="22" fillId="36" borderId="37" xfId="0" applyNumberFormat="1" applyFont="1" applyFill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 wrapText="1"/>
    </xf>
    <xf numFmtId="188" fontId="119" fillId="0" borderId="11" xfId="0" applyNumberFormat="1" applyFont="1" applyBorder="1" applyAlignment="1">
      <alignment horizontal="left"/>
    </xf>
    <xf numFmtId="1" fontId="119" fillId="0" borderId="11" xfId="0" applyNumberFormat="1" applyFont="1" applyBorder="1" applyAlignment="1">
      <alignment horizontal="left"/>
    </xf>
    <xf numFmtId="1" fontId="119" fillId="0" borderId="0" xfId="0" applyNumberFormat="1" applyFont="1" applyAlignment="1">
      <alignment horizontal="left" vertical="center"/>
    </xf>
    <xf numFmtId="188" fontId="119" fillId="0" borderId="11" xfId="0" applyNumberFormat="1" applyFont="1" applyBorder="1" applyAlignment="1">
      <alignment horizontal="left" vertical="center"/>
    </xf>
    <xf numFmtId="0" fontId="119" fillId="0" borderId="16" xfId="0" applyFont="1" applyBorder="1" applyAlignment="1">
      <alignment horizontal="left" vertical="top" wrapText="1"/>
    </xf>
    <xf numFmtId="0" fontId="129" fillId="10" borderId="11" xfId="0" applyFont="1" applyFill="1" applyBorder="1" applyAlignment="1">
      <alignment horizontal="left"/>
    </xf>
    <xf numFmtId="0" fontId="129" fillId="10" borderId="11" xfId="0" applyFont="1" applyFill="1" applyBorder="1" applyAlignment="1">
      <alignment horizontal="left" wrapText="1"/>
    </xf>
    <xf numFmtId="0" fontId="119" fillId="0" borderId="13" xfId="0" applyFont="1" applyBorder="1" applyAlignment="1">
      <alignment horizontal="left" vertical="center" wrapText="1"/>
    </xf>
    <xf numFmtId="0" fontId="119" fillId="34" borderId="11" xfId="0" applyFont="1" applyFill="1" applyBorder="1" applyAlignment="1">
      <alignment horizontal="left" vertical="center"/>
    </xf>
    <xf numFmtId="0" fontId="119" fillId="0" borderId="0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left"/>
    </xf>
    <xf numFmtId="0" fontId="119" fillId="34" borderId="0" xfId="0" applyFont="1" applyFill="1" applyBorder="1" applyAlignment="1">
      <alignment horizontal="left" vertical="center"/>
    </xf>
    <xf numFmtId="0" fontId="119" fillId="0" borderId="0" xfId="0" applyFont="1" applyAlignment="1">
      <alignment horizontal="left"/>
    </xf>
    <xf numFmtId="0" fontId="119" fillId="33" borderId="0" xfId="0" applyFont="1" applyFill="1" applyAlignment="1">
      <alignment horizontal="left" vertical="center"/>
    </xf>
    <xf numFmtId="0" fontId="119" fillId="33" borderId="0" xfId="0" applyFont="1" applyFill="1" applyBorder="1" applyAlignment="1">
      <alignment horizontal="left"/>
    </xf>
    <xf numFmtId="0" fontId="122" fillId="0" borderId="11" xfId="0" applyFont="1" applyFill="1" applyBorder="1" applyAlignment="1">
      <alignment horizontal="left" vertical="center" wrapText="1"/>
    </xf>
    <xf numFmtId="0" fontId="119" fillId="0" borderId="11" xfId="0" applyFont="1" applyBorder="1" applyAlignment="1">
      <alignment horizontal="left" vertical="center" wrapText="1"/>
    </xf>
    <xf numFmtId="0" fontId="122" fillId="0" borderId="11" xfId="0" applyFont="1" applyBorder="1" applyAlignment="1">
      <alignment horizontal="left" vertical="center" wrapText="1"/>
    </xf>
    <xf numFmtId="49" fontId="122" fillId="0" borderId="35" xfId="0" applyNumberFormat="1" applyFont="1" applyFill="1" applyBorder="1" applyAlignment="1">
      <alignment horizontal="left" vertical="center" wrapText="1"/>
    </xf>
    <xf numFmtId="49" fontId="122" fillId="0" borderId="11" xfId="0" applyNumberFormat="1" applyFont="1" applyFill="1" applyBorder="1" applyAlignment="1">
      <alignment horizontal="left" vertical="center" wrapText="1"/>
    </xf>
    <xf numFmtId="0" fontId="119" fillId="33" borderId="11" xfId="0" applyFont="1" applyFill="1" applyBorder="1" applyAlignment="1">
      <alignment horizontal="left" vertical="center" wrapText="1"/>
    </xf>
    <xf numFmtId="0" fontId="122" fillId="33" borderId="11" xfId="0" applyFont="1" applyFill="1" applyBorder="1" applyAlignment="1">
      <alignment horizontal="left" vertical="center" wrapText="1"/>
    </xf>
    <xf numFmtId="188" fontId="122" fillId="33" borderId="11" xfId="0" applyNumberFormat="1" applyFont="1" applyFill="1" applyBorder="1" applyAlignment="1">
      <alignment horizontal="left" vertical="center" wrapText="1"/>
    </xf>
    <xf numFmtId="173" fontId="122" fillId="33" borderId="11" xfId="42" applyFont="1" applyFill="1" applyBorder="1" applyAlignment="1">
      <alignment horizontal="left" vertical="center" wrapText="1"/>
    </xf>
    <xf numFmtId="2" fontId="119" fillId="0" borderId="11" xfId="0" applyNumberFormat="1" applyFont="1" applyBorder="1" applyAlignment="1">
      <alignment horizontal="left"/>
    </xf>
    <xf numFmtId="2" fontId="129" fillId="10" borderId="11" xfId="0" applyNumberFormat="1" applyFont="1" applyFill="1" applyBorder="1" applyAlignment="1">
      <alignment horizontal="left" wrapText="1"/>
    </xf>
    <xf numFmtId="189" fontId="119" fillId="0" borderId="11" xfId="0" applyNumberFormat="1" applyFont="1" applyBorder="1" applyAlignment="1">
      <alignment horizontal="left"/>
    </xf>
    <xf numFmtId="203" fontId="119" fillId="0" borderId="11" xfId="0" applyNumberFormat="1" applyFont="1" applyBorder="1" applyAlignment="1">
      <alignment horizontal="left"/>
    </xf>
    <xf numFmtId="188" fontId="119" fillId="33" borderId="11" xfId="0" applyNumberFormat="1" applyFont="1" applyFill="1" applyBorder="1" applyAlignment="1">
      <alignment horizontal="left" vertical="center" wrapText="1"/>
    </xf>
    <xf numFmtId="1" fontId="119" fillId="0" borderId="11" xfId="0" applyNumberFormat="1" applyFont="1" applyFill="1" applyBorder="1" applyAlignment="1">
      <alignment horizontal="left" vertical="center" wrapText="1"/>
    </xf>
    <xf numFmtId="0" fontId="119" fillId="0" borderId="16" xfId="0" applyFont="1" applyBorder="1" applyAlignment="1">
      <alignment horizontal="left" wrapText="1"/>
    </xf>
    <xf numFmtId="0" fontId="119" fillId="34" borderId="11" xfId="0" applyFont="1" applyFill="1" applyBorder="1" applyAlignment="1">
      <alignment horizontal="left" vertical="top" wrapText="1"/>
    </xf>
    <xf numFmtId="0" fontId="130" fillId="34" borderId="11" xfId="0" applyFont="1" applyFill="1" applyBorder="1" applyAlignment="1">
      <alignment horizontal="left" vertical="top" wrapText="1"/>
    </xf>
    <xf numFmtId="0" fontId="130" fillId="0" borderId="11" xfId="0" applyFont="1" applyBorder="1" applyAlignment="1">
      <alignment horizontal="left"/>
    </xf>
    <xf numFmtId="188" fontId="130" fillId="0" borderId="11" xfId="0" applyNumberFormat="1" applyFont="1" applyBorder="1" applyAlignment="1">
      <alignment horizontal="left"/>
    </xf>
    <xf numFmtId="0" fontId="119" fillId="34" borderId="13" xfId="0" applyFont="1" applyFill="1" applyBorder="1" applyAlignment="1">
      <alignment horizontal="left" wrapText="1"/>
    </xf>
    <xf numFmtId="188" fontId="119" fillId="0" borderId="0" xfId="0" applyNumberFormat="1" applyFont="1" applyAlignment="1">
      <alignment horizontal="left"/>
    </xf>
    <xf numFmtId="0" fontId="119" fillId="0" borderId="22" xfId="0" applyFont="1" applyBorder="1" applyAlignment="1">
      <alignment horizontal="left"/>
    </xf>
    <xf numFmtId="0" fontId="119" fillId="0" borderId="15" xfId="0" applyFont="1" applyBorder="1" applyAlignment="1">
      <alignment horizontal="left"/>
    </xf>
    <xf numFmtId="0" fontId="122" fillId="10" borderId="11" xfId="0" applyFont="1" applyFill="1" applyBorder="1" applyAlignment="1">
      <alignment horizontal="left" vertical="center" wrapText="1"/>
    </xf>
    <xf numFmtId="188" fontId="129" fillId="10" borderId="11" xfId="0" applyNumberFormat="1" applyFont="1" applyFill="1" applyBorder="1" applyAlignment="1">
      <alignment horizontal="left" wrapText="1"/>
    </xf>
    <xf numFmtId="188" fontId="129" fillId="10" borderId="11" xfId="0" applyNumberFormat="1" applyFont="1" applyFill="1" applyBorder="1" applyAlignment="1">
      <alignment horizontal="left"/>
    </xf>
    <xf numFmtId="0" fontId="119" fillId="33" borderId="0" xfId="0" applyFont="1" applyFill="1" applyBorder="1" applyAlignment="1">
      <alignment horizontal="left" wrapText="1"/>
    </xf>
    <xf numFmtId="0" fontId="122" fillId="33" borderId="0" xfId="0" applyFont="1" applyFill="1" applyBorder="1" applyAlignment="1">
      <alignment horizontal="left" wrapText="1"/>
    </xf>
    <xf numFmtId="0" fontId="119" fillId="33" borderId="0" xfId="0" applyFont="1" applyFill="1" applyAlignment="1">
      <alignment horizontal="left" wrapText="1"/>
    </xf>
    <xf numFmtId="0" fontId="119" fillId="33" borderId="0" xfId="0" applyFont="1" applyFill="1" applyAlignment="1">
      <alignment horizontal="left"/>
    </xf>
    <xf numFmtId="0" fontId="131" fillId="33" borderId="38" xfId="0" applyFont="1" applyFill="1" applyBorder="1" applyAlignment="1">
      <alignment horizontal="left" wrapText="1"/>
    </xf>
    <xf numFmtId="0" fontId="132" fillId="33" borderId="0" xfId="0" applyFont="1" applyFill="1" applyBorder="1" applyAlignment="1">
      <alignment horizontal="left" vertical="center" wrapText="1"/>
    </xf>
    <xf numFmtId="0" fontId="132" fillId="33" borderId="0" xfId="0" applyFont="1" applyFill="1" applyAlignment="1">
      <alignment horizontal="left"/>
    </xf>
    <xf numFmtId="0" fontId="119" fillId="33" borderId="39" xfId="0" applyFont="1" applyFill="1" applyBorder="1" applyAlignment="1">
      <alignment horizontal="left"/>
    </xf>
    <xf numFmtId="0" fontId="132" fillId="0" borderId="29" xfId="0" applyFont="1" applyBorder="1" applyAlignment="1">
      <alignment horizontal="left" wrapText="1"/>
    </xf>
    <xf numFmtId="0" fontId="132" fillId="0" borderId="40" xfId="0" applyFont="1" applyBorder="1" applyAlignment="1">
      <alignment horizontal="left" wrapText="1"/>
    </xf>
    <xf numFmtId="0" fontId="133" fillId="0" borderId="29" xfId="0" applyFont="1" applyBorder="1" applyAlignment="1">
      <alignment horizontal="left"/>
    </xf>
    <xf numFmtId="0" fontId="133" fillId="0" borderId="10" xfId="0" applyFont="1" applyBorder="1" applyAlignment="1">
      <alignment horizontal="left" wrapText="1"/>
    </xf>
    <xf numFmtId="0" fontId="133" fillId="0" borderId="11" xfId="0" applyFont="1" applyBorder="1" applyAlignment="1">
      <alignment horizontal="left" vertical="center" wrapText="1"/>
    </xf>
    <xf numFmtId="0" fontId="133" fillId="0" borderId="38" xfId="0" applyFont="1" applyBorder="1" applyAlignment="1">
      <alignment horizontal="left" vertical="center" wrapText="1"/>
    </xf>
    <xf numFmtId="0" fontId="133" fillId="0" borderId="41" xfId="0" applyFont="1" applyBorder="1" applyAlignment="1">
      <alignment horizontal="left" vertical="center" wrapText="1"/>
    </xf>
    <xf numFmtId="0" fontId="133" fillId="0" borderId="42" xfId="0" applyFont="1" applyBorder="1" applyAlignment="1">
      <alignment horizontal="left" vertical="center" wrapText="1"/>
    </xf>
    <xf numFmtId="0" fontId="119" fillId="0" borderId="43" xfId="0" applyFont="1" applyBorder="1" applyAlignment="1">
      <alignment horizontal="left"/>
    </xf>
    <xf numFmtId="0" fontId="119" fillId="0" borderId="10" xfId="0" applyFont="1" applyBorder="1" applyAlignment="1">
      <alignment horizontal="left"/>
    </xf>
    <xf numFmtId="0" fontId="119" fillId="0" borderId="44" xfId="0" applyFont="1" applyBorder="1" applyAlignment="1">
      <alignment horizontal="left"/>
    </xf>
    <xf numFmtId="0" fontId="119" fillId="0" borderId="29" xfId="0" applyFont="1" applyBorder="1" applyAlignment="1">
      <alignment horizontal="left"/>
    </xf>
    <xf numFmtId="0" fontId="129" fillId="0" borderId="0" xfId="0" applyFont="1" applyAlignment="1">
      <alignment horizontal="left"/>
    </xf>
    <xf numFmtId="1" fontId="119" fillId="0" borderId="11" xfId="0" applyNumberFormat="1" applyFont="1" applyBorder="1" applyAlignment="1">
      <alignment horizontal="left" vertical="center"/>
    </xf>
    <xf numFmtId="1" fontId="129" fillId="10" borderId="11" xfId="0" applyNumberFormat="1" applyFont="1" applyFill="1" applyBorder="1" applyAlignment="1">
      <alignment horizontal="left" wrapText="1"/>
    </xf>
    <xf numFmtId="188" fontId="129" fillId="0" borderId="0" xfId="0" applyNumberFormat="1" applyFont="1" applyAlignment="1">
      <alignment horizontal="left"/>
    </xf>
    <xf numFmtId="2" fontId="129" fillId="0" borderId="0" xfId="0" applyNumberFormat="1" applyFont="1" applyAlignment="1">
      <alignment horizontal="left"/>
    </xf>
    <xf numFmtId="0" fontId="134" fillId="0" borderId="0" xfId="0" applyFont="1" applyAlignment="1">
      <alignment horizontal="left" wrapText="1"/>
    </xf>
    <xf numFmtId="2" fontId="119" fillId="0" borderId="0" xfId="0" applyNumberFormat="1" applyFont="1" applyAlignment="1">
      <alignment horizontal="left"/>
    </xf>
    <xf numFmtId="0" fontId="130" fillId="0" borderId="0" xfId="0" applyFont="1" applyAlignment="1">
      <alignment horizontal="left"/>
    </xf>
    <xf numFmtId="0" fontId="119" fillId="0" borderId="16" xfId="0" applyFont="1" applyFill="1" applyBorder="1" applyAlignment="1">
      <alignment horizontal="left" wrapText="1"/>
    </xf>
    <xf numFmtId="0" fontId="119" fillId="0" borderId="13" xfId="0" applyFont="1" applyFill="1" applyBorder="1" applyAlignment="1">
      <alignment horizontal="left" wrapText="1"/>
    </xf>
    <xf numFmtId="0" fontId="122" fillId="10" borderId="11" xfId="0" applyFont="1" applyFill="1" applyBorder="1" applyAlignment="1">
      <alignment horizontal="left" wrapText="1"/>
    </xf>
    <xf numFmtId="188" fontId="119" fillId="0" borderId="0" xfId="0" applyNumberFormat="1" applyFont="1" applyBorder="1" applyAlignment="1">
      <alignment horizontal="left"/>
    </xf>
    <xf numFmtId="0" fontId="122" fillId="0" borderId="0" xfId="0" applyFont="1" applyAlignment="1">
      <alignment horizontal="left" vertical="top"/>
    </xf>
    <xf numFmtId="0" fontId="122" fillId="33" borderId="35" xfId="0" applyFont="1" applyFill="1" applyBorder="1" applyAlignment="1">
      <alignment horizontal="left"/>
    </xf>
    <xf numFmtId="0" fontId="122" fillId="33" borderId="11" xfId="0" applyFont="1" applyFill="1" applyBorder="1" applyAlignment="1">
      <alignment horizontal="left"/>
    </xf>
    <xf numFmtId="0" fontId="119" fillId="33" borderId="39" xfId="0" applyFont="1" applyFill="1" applyBorder="1" applyAlignment="1">
      <alignment horizontal="left" wrapText="1"/>
    </xf>
    <xf numFmtId="0" fontId="135" fillId="0" borderId="13" xfId="0" applyFont="1" applyBorder="1" applyAlignment="1">
      <alignment horizontal="left" wrapText="1"/>
    </xf>
    <xf numFmtId="0" fontId="135" fillId="0" borderId="11" xfId="0" applyFont="1" applyBorder="1" applyAlignment="1">
      <alignment horizontal="left" wrapText="1"/>
    </xf>
    <xf numFmtId="0" fontId="135" fillId="0" borderId="15" xfId="0" applyFont="1" applyBorder="1" applyAlignment="1">
      <alignment horizontal="left" wrapText="1"/>
    </xf>
    <xf numFmtId="0" fontId="119" fillId="0" borderId="0" xfId="0" applyFont="1" applyFill="1" applyAlignment="1">
      <alignment horizontal="left" vertical="center"/>
    </xf>
    <xf numFmtId="0" fontId="119" fillId="0" borderId="15" xfId="0" applyFont="1" applyFill="1" applyBorder="1" applyAlignment="1">
      <alignment horizontal="left" vertical="center" wrapText="1"/>
    </xf>
    <xf numFmtId="188" fontId="119" fillId="0" borderId="11" xfId="0" applyNumberFormat="1" applyFont="1" applyFill="1" applyBorder="1" applyAlignment="1">
      <alignment horizontal="left" vertical="center" wrapText="1"/>
    </xf>
    <xf numFmtId="0" fontId="119" fillId="0" borderId="0" xfId="0" applyFont="1" applyAlignment="1">
      <alignment horizontal="left" vertical="center"/>
    </xf>
    <xf numFmtId="0" fontId="119" fillId="0" borderId="15" xfId="0" applyFont="1" applyBorder="1" applyAlignment="1">
      <alignment horizontal="left" vertical="center" wrapText="1"/>
    </xf>
    <xf numFmtId="188" fontId="119" fillId="0" borderId="11" xfId="0" applyNumberFormat="1" applyFont="1" applyBorder="1" applyAlignment="1">
      <alignment horizontal="left" vertical="center" wrapText="1"/>
    </xf>
    <xf numFmtId="188" fontId="122" fillId="37" borderId="0" xfId="0" applyNumberFormat="1" applyFont="1" applyFill="1" applyAlignment="1">
      <alignment horizontal="left" vertical="center"/>
    </xf>
    <xf numFmtId="0" fontId="122" fillId="37" borderId="0" xfId="0" applyFont="1" applyFill="1" applyAlignment="1">
      <alignment horizontal="left" vertical="center"/>
    </xf>
    <xf numFmtId="0" fontId="119" fillId="0" borderId="15" xfId="120" applyFont="1" applyFill="1" applyBorder="1" applyAlignment="1">
      <alignment horizontal="left" vertical="center" wrapText="1"/>
      <protection/>
    </xf>
    <xf numFmtId="0" fontId="119" fillId="0" borderId="11" xfId="0" applyFont="1" applyFill="1" applyBorder="1" applyAlignment="1">
      <alignment horizontal="left" wrapText="1"/>
    </xf>
    <xf numFmtId="188" fontId="119" fillId="0" borderId="0" xfId="0" applyNumberFormat="1" applyFont="1" applyFill="1" applyAlignment="1">
      <alignment horizontal="left" vertical="center"/>
    </xf>
    <xf numFmtId="0" fontId="119" fillId="0" borderId="45" xfId="0" applyFont="1" applyFill="1" applyBorder="1" applyAlignment="1">
      <alignment horizontal="left"/>
    </xf>
    <xf numFmtId="0" fontId="119" fillId="0" borderId="21" xfId="0" applyFont="1" applyFill="1" applyBorder="1" applyAlignment="1">
      <alignment horizontal="left"/>
    </xf>
    <xf numFmtId="2" fontId="119" fillId="0" borderId="0" xfId="0" applyNumberFormat="1" applyFont="1" applyFill="1" applyAlignment="1">
      <alignment horizontal="left" vertical="center"/>
    </xf>
    <xf numFmtId="49" fontId="122" fillId="0" borderId="46" xfId="0" applyNumberFormat="1" applyFont="1" applyFill="1" applyBorder="1" applyAlignment="1">
      <alignment horizontal="left" vertical="center" wrapText="1"/>
    </xf>
    <xf numFmtId="2" fontId="119" fillId="0" borderId="11" xfId="0" applyNumberFormat="1" applyFont="1" applyFill="1" applyBorder="1" applyAlignment="1">
      <alignment horizontal="left" vertical="center" wrapText="1"/>
    </xf>
    <xf numFmtId="219" fontId="119" fillId="33" borderId="0" xfId="0" applyNumberFormat="1" applyFont="1" applyFill="1" applyAlignment="1">
      <alignment horizontal="left" vertical="center"/>
    </xf>
    <xf numFmtId="49" fontId="122" fillId="10" borderId="46" xfId="0" applyNumberFormat="1" applyFont="1" applyFill="1" applyBorder="1" applyAlignment="1">
      <alignment horizontal="left" vertical="center" wrapText="1"/>
    </xf>
    <xf numFmtId="188" fontId="119" fillId="10" borderId="11" xfId="0" applyNumberFormat="1" applyFont="1" applyFill="1" applyBorder="1" applyAlignment="1">
      <alignment horizontal="left" vertical="center" wrapText="1"/>
    </xf>
    <xf numFmtId="2" fontId="119" fillId="33" borderId="11" xfId="0" applyNumberFormat="1" applyFont="1" applyFill="1" applyBorder="1" applyAlignment="1">
      <alignment horizontal="left" vertical="center" wrapText="1"/>
    </xf>
    <xf numFmtId="2" fontId="119" fillId="33" borderId="0" xfId="0" applyNumberFormat="1" applyFont="1" applyFill="1" applyAlignment="1">
      <alignment horizontal="left" vertical="center"/>
    </xf>
    <xf numFmtId="49" fontId="122" fillId="34" borderId="46" xfId="0" applyNumberFormat="1" applyFont="1" applyFill="1" applyBorder="1" applyAlignment="1">
      <alignment horizontal="left" vertical="center" wrapText="1"/>
    </xf>
    <xf numFmtId="2" fontId="119" fillId="34" borderId="11" xfId="0" applyNumberFormat="1" applyFont="1" applyFill="1" applyBorder="1" applyAlignment="1">
      <alignment horizontal="left" vertical="center" wrapText="1"/>
    </xf>
    <xf numFmtId="188" fontId="119" fillId="34" borderId="11" xfId="0" applyNumberFormat="1" applyFont="1" applyFill="1" applyBorder="1" applyAlignment="1">
      <alignment horizontal="left" vertical="center" wrapText="1"/>
    </xf>
    <xf numFmtId="188" fontId="119" fillId="0" borderId="0" xfId="0" applyNumberFormat="1" applyFont="1" applyAlignment="1">
      <alignment horizontal="left" vertical="center"/>
    </xf>
    <xf numFmtId="2" fontId="119" fillId="0" borderId="11" xfId="0" applyNumberFormat="1" applyFont="1" applyBorder="1" applyAlignment="1">
      <alignment horizontal="left" vertical="center" wrapText="1"/>
    </xf>
    <xf numFmtId="188" fontId="119" fillId="0" borderId="11" xfId="98" applyNumberFormat="1" applyFont="1" applyFill="1" applyBorder="1" applyAlignment="1">
      <alignment horizontal="left" wrapText="1"/>
      <protection/>
    </xf>
    <xf numFmtId="188" fontId="119" fillId="33" borderId="0" xfId="0" applyNumberFormat="1" applyFont="1" applyFill="1" applyAlignment="1">
      <alignment horizontal="left" vertical="center"/>
    </xf>
    <xf numFmtId="188" fontId="122" fillId="0" borderId="11" xfId="98" applyNumberFormat="1" applyFont="1" applyFill="1" applyBorder="1" applyAlignment="1">
      <alignment horizontal="left" wrapText="1"/>
      <protection/>
    </xf>
    <xf numFmtId="0" fontId="122" fillId="33" borderId="0" xfId="0" applyFont="1" applyFill="1" applyAlignment="1">
      <alignment horizontal="left" vertical="center"/>
    </xf>
    <xf numFmtId="2" fontId="122" fillId="33" borderId="0" xfId="0" applyNumberFormat="1" applyFont="1" applyFill="1" applyAlignment="1">
      <alignment horizontal="left" vertical="center"/>
    </xf>
    <xf numFmtId="0" fontId="119" fillId="0" borderId="0" xfId="0" applyFont="1" applyFill="1" applyBorder="1" applyAlignment="1">
      <alignment horizontal="left"/>
    </xf>
    <xf numFmtId="0" fontId="119" fillId="0" borderId="35" xfId="0" applyFont="1" applyFill="1" applyBorder="1" applyAlignment="1">
      <alignment horizontal="left"/>
    </xf>
    <xf numFmtId="0" fontId="119" fillId="0" borderId="46" xfId="0" applyFont="1" applyFill="1" applyBorder="1" applyAlignment="1">
      <alignment horizontal="left"/>
    </xf>
    <xf numFmtId="0" fontId="119" fillId="0" borderId="0" xfId="0" applyFont="1" applyFill="1" applyAlignment="1">
      <alignment horizontal="left"/>
    </xf>
    <xf numFmtId="0" fontId="119" fillId="33" borderId="47" xfId="0" applyFont="1" applyFill="1" applyBorder="1" applyAlignment="1">
      <alignment horizontal="left" wrapText="1"/>
    </xf>
    <xf numFmtId="188" fontId="119" fillId="33" borderId="47" xfId="0" applyNumberFormat="1" applyFont="1" applyFill="1" applyBorder="1" applyAlignment="1">
      <alignment horizontal="left" wrapText="1"/>
    </xf>
    <xf numFmtId="0" fontId="122" fillId="37" borderId="0" xfId="0" applyFont="1" applyFill="1" applyAlignment="1">
      <alignment horizontal="left"/>
    </xf>
    <xf numFmtId="0" fontId="122" fillId="0" borderId="11" xfId="0" applyFont="1" applyFill="1" applyBorder="1" applyAlignment="1">
      <alignment horizontal="left" wrapText="1"/>
    </xf>
    <xf numFmtId="188" fontId="119" fillId="0" borderId="11" xfId="0" applyNumberFormat="1" applyFont="1" applyFill="1" applyBorder="1" applyAlignment="1">
      <alignment horizontal="left" wrapText="1"/>
    </xf>
    <xf numFmtId="0" fontId="119" fillId="0" borderId="12" xfId="0" applyFont="1" applyFill="1" applyBorder="1" applyAlignment="1">
      <alignment horizontal="left"/>
    </xf>
    <xf numFmtId="0" fontId="122" fillId="33" borderId="11" xfId="0" applyFont="1" applyFill="1" applyBorder="1" applyAlignment="1">
      <alignment horizontal="left" wrapText="1"/>
    </xf>
    <xf numFmtId="0" fontId="122" fillId="0" borderId="11" xfId="0" applyFont="1" applyBorder="1" applyAlignment="1">
      <alignment horizontal="left" wrapText="1"/>
    </xf>
    <xf numFmtId="188" fontId="122" fillId="33" borderId="11" xfId="0" applyNumberFormat="1" applyFont="1" applyFill="1" applyBorder="1" applyAlignment="1">
      <alignment horizontal="left" wrapText="1"/>
    </xf>
    <xf numFmtId="188" fontId="119" fillId="33" borderId="11" xfId="0" applyNumberFormat="1" applyFont="1" applyFill="1" applyBorder="1" applyAlignment="1">
      <alignment horizontal="left" wrapText="1"/>
    </xf>
    <xf numFmtId="0" fontId="122" fillId="33" borderId="0" xfId="0" applyFont="1" applyFill="1" applyAlignment="1">
      <alignment horizontal="left"/>
    </xf>
    <xf numFmtId="0" fontId="122" fillId="10" borderId="15" xfId="120" applyFont="1" applyFill="1" applyBorder="1" applyAlignment="1">
      <alignment horizontal="left" vertical="center" wrapText="1"/>
      <protection/>
    </xf>
    <xf numFmtId="2" fontId="122" fillId="10" borderId="11" xfId="0" applyNumberFormat="1" applyFont="1" applyFill="1" applyBorder="1" applyAlignment="1">
      <alignment horizontal="left" vertical="center" wrapText="1"/>
    </xf>
    <xf numFmtId="188" fontId="122" fillId="10" borderId="11" xfId="0" applyNumberFormat="1" applyFont="1" applyFill="1" applyBorder="1" applyAlignment="1">
      <alignment horizontal="left" vertical="center" wrapText="1"/>
    </xf>
    <xf numFmtId="0" fontId="122" fillId="10" borderId="15" xfId="0" applyFont="1" applyFill="1" applyBorder="1" applyAlignment="1">
      <alignment horizontal="left" vertical="center" wrapText="1"/>
    </xf>
    <xf numFmtId="0" fontId="119" fillId="10" borderId="15" xfId="0" applyFont="1" applyFill="1" applyBorder="1" applyAlignment="1">
      <alignment horizontal="left" vertical="center" wrapText="1"/>
    </xf>
    <xf numFmtId="2" fontId="119" fillId="10" borderId="11" xfId="0" applyNumberFormat="1" applyFont="1" applyFill="1" applyBorder="1" applyAlignment="1">
      <alignment horizontal="left" vertical="center" wrapText="1"/>
    </xf>
    <xf numFmtId="0" fontId="119" fillId="0" borderId="35" xfId="0" applyFont="1" applyFill="1" applyBorder="1" applyAlignment="1">
      <alignment horizontal="left" vertical="center" wrapText="1"/>
    </xf>
    <xf numFmtId="0" fontId="136" fillId="0" borderId="11" xfId="120" applyFont="1" applyBorder="1" applyAlignment="1">
      <alignment horizontal="left" wrapText="1"/>
      <protection/>
    </xf>
    <xf numFmtId="0" fontId="119" fillId="0" borderId="35" xfId="0" applyFont="1" applyBorder="1" applyAlignment="1">
      <alignment horizontal="left" wrapText="1"/>
    </xf>
    <xf numFmtId="188" fontId="122" fillId="1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19" fillId="34" borderId="11" xfId="0" applyNumberFormat="1" applyFont="1" applyFill="1" applyBorder="1" applyAlignment="1">
      <alignment horizontal="left"/>
    </xf>
    <xf numFmtId="0" fontId="119" fillId="34" borderId="11" xfId="0" applyFont="1" applyFill="1" applyBorder="1" applyAlignment="1">
      <alignment horizontal="left"/>
    </xf>
    <xf numFmtId="0" fontId="137" fillId="33" borderId="0" xfId="0" applyFont="1" applyFill="1" applyAlignment="1">
      <alignment horizontal="centerContinuous" wrapText="1"/>
    </xf>
    <xf numFmtId="0" fontId="138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9" fillId="34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8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3" fillId="33" borderId="0" xfId="0" applyFont="1" applyFill="1" applyAlignment="1">
      <alignment horizontal="centerContinuous" vertical="center"/>
    </xf>
    <xf numFmtId="0" fontId="13" fillId="33" borderId="0" xfId="0" applyFont="1" applyFill="1" applyAlignment="1">
      <alignment horizontal="left"/>
    </xf>
    <xf numFmtId="0" fontId="13" fillId="38" borderId="29" xfId="0" applyFont="1" applyFill="1" applyBorder="1" applyAlignment="1">
      <alignment horizontal="centerContinuous"/>
    </xf>
    <xf numFmtId="0" fontId="13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center"/>
    </xf>
    <xf numFmtId="0" fontId="10" fillId="33" borderId="42" xfId="0" applyFont="1" applyFill="1" applyBorder="1" applyAlignment="1">
      <alignment wrapText="1"/>
    </xf>
    <xf numFmtId="0" fontId="10" fillId="33" borderId="42" xfId="0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15" fillId="0" borderId="48" xfId="0" applyFont="1" applyFill="1" applyBorder="1" applyAlignment="1" applyProtection="1">
      <alignment horizontal="center" wrapText="1"/>
      <protection/>
    </xf>
    <xf numFmtId="0" fontId="15" fillId="0" borderId="37" xfId="0" applyFont="1" applyFill="1" applyBorder="1" applyAlignment="1">
      <alignment horizontal="center" wrapText="1"/>
    </xf>
    <xf numFmtId="0" fontId="15" fillId="0" borderId="49" xfId="0" applyFont="1" applyFill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 wrapText="1"/>
      <protection/>
    </xf>
    <xf numFmtId="0" fontId="15" fillId="0" borderId="50" xfId="0" applyFont="1" applyFill="1" applyBorder="1" applyAlignment="1" applyProtection="1">
      <alignment horizontal="center" wrapText="1"/>
      <protection/>
    </xf>
    <xf numFmtId="0" fontId="15" fillId="0" borderId="35" xfId="0" applyFont="1" applyBorder="1" applyAlignment="1">
      <alignment horizontal="center"/>
    </xf>
    <xf numFmtId="0" fontId="13" fillId="0" borderId="14" xfId="0" applyFont="1" applyFill="1" applyBorder="1" applyAlignment="1">
      <alignment horizontal="left" wrapText="1"/>
    </xf>
    <xf numFmtId="1" fontId="125" fillId="0" borderId="11" xfId="0" applyNumberFormat="1" applyFont="1" applyBorder="1" applyAlignment="1">
      <alignment horizontal="center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15" fillId="12" borderId="11" xfId="0" applyFont="1" applyFill="1" applyBorder="1" applyAlignment="1">
      <alignment horizontal="center"/>
    </xf>
    <xf numFmtId="0" fontId="20" fillId="12" borderId="14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220" fontId="10" fillId="38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188" fontId="10" fillId="0" borderId="11" xfId="0" applyNumberFormat="1" applyFont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0" fillId="12" borderId="14" xfId="0" applyFont="1" applyFill="1" applyBorder="1" applyAlignment="1" applyProtection="1">
      <alignment horizontal="left" vertical="center"/>
      <protection locked="0"/>
    </xf>
    <xf numFmtId="0" fontId="139" fillId="0" borderId="11" xfId="0" applyFont="1" applyBorder="1" applyAlignment="1">
      <alignment/>
    </xf>
    <xf numFmtId="0" fontId="15" fillId="0" borderId="0" xfId="0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0" fontId="139" fillId="0" borderId="0" xfId="0" applyFont="1" applyBorder="1" applyAlignment="1">
      <alignment/>
    </xf>
    <xf numFmtId="0" fontId="0" fillId="0" borderId="0" xfId="0" applyBorder="1" applyAlignment="1">
      <alignment/>
    </xf>
    <xf numFmtId="0" fontId="140" fillId="0" borderId="0" xfId="0" applyFont="1" applyBorder="1" applyAlignment="1">
      <alignment horizontal="right" vertical="center"/>
    </xf>
    <xf numFmtId="0" fontId="140" fillId="0" borderId="0" xfId="0" applyFont="1" applyBorder="1" applyAlignment="1">
      <alignment/>
    </xf>
    <xf numFmtId="0" fontId="141" fillId="0" borderId="0" xfId="0" applyFont="1" applyBorder="1" applyAlignment="1">
      <alignment/>
    </xf>
    <xf numFmtId="0" fontId="138" fillId="0" borderId="0" xfId="0" applyFont="1" applyBorder="1" applyAlignment="1">
      <alignment/>
    </xf>
    <xf numFmtId="0" fontId="141" fillId="0" borderId="0" xfId="0" applyFont="1" applyFill="1" applyBorder="1" applyAlignment="1">
      <alignment/>
    </xf>
    <xf numFmtId="0" fontId="140" fillId="0" borderId="0" xfId="0" applyFont="1" applyBorder="1" applyAlignment="1">
      <alignment vertical="center"/>
    </xf>
    <xf numFmtId="199" fontId="12" fillId="0" borderId="11" xfId="42" applyNumberFormat="1" applyFont="1" applyBorder="1" applyAlignment="1">
      <alignment/>
    </xf>
    <xf numFmtId="199" fontId="12" fillId="0" borderId="0" xfId="42" applyNumberFormat="1" applyFont="1" applyBorder="1" applyAlignment="1">
      <alignment/>
    </xf>
    <xf numFmtId="0" fontId="12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/>
    </xf>
    <xf numFmtId="0" fontId="37" fillId="12" borderId="14" xfId="0" applyFont="1" applyFill="1" applyBorder="1" applyAlignment="1" applyProtection="1">
      <alignment horizontal="left" vertical="center" wrapText="1"/>
      <protection locked="0"/>
    </xf>
    <xf numFmtId="188" fontId="0" fillId="0" borderId="0" xfId="0" applyNumberFormat="1" applyAlignment="1">
      <alignment/>
    </xf>
    <xf numFmtId="188" fontId="0" fillId="0" borderId="11" xfId="0" applyNumberFormat="1" applyBorder="1" applyAlignment="1">
      <alignment/>
    </xf>
    <xf numFmtId="203" fontId="0" fillId="0" borderId="11" xfId="0" applyNumberFormat="1" applyBorder="1" applyAlignment="1">
      <alignment/>
    </xf>
    <xf numFmtId="206" fontId="0" fillId="0" borderId="0" xfId="0" applyNumberFormat="1" applyAlignment="1">
      <alignment/>
    </xf>
    <xf numFmtId="188" fontId="10" fillId="0" borderId="11" xfId="0" applyNumberFormat="1" applyFont="1" applyBorder="1" applyAlignment="1">
      <alignment/>
    </xf>
    <xf numFmtId="0" fontId="14" fillId="33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center" wrapText="1"/>
    </xf>
    <xf numFmtId="0" fontId="14" fillId="33" borderId="0" xfId="0" applyFont="1" applyFill="1" applyAlignment="1">
      <alignment/>
    </xf>
    <xf numFmtId="0" fontId="38" fillId="33" borderId="0" xfId="0" applyFont="1" applyFill="1" applyBorder="1" applyAlignment="1">
      <alignment horizontal="center" wrapText="1"/>
    </xf>
    <xf numFmtId="0" fontId="34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14" fillId="33" borderId="0" xfId="0" applyFont="1" applyFill="1" applyAlignment="1">
      <alignment wrapText="1"/>
    </xf>
    <xf numFmtId="0" fontId="14" fillId="34" borderId="13" xfId="0" applyFont="1" applyFill="1" applyBorder="1" applyAlignment="1">
      <alignment horizontal="center" wrapText="1"/>
    </xf>
    <xf numFmtId="0" fontId="14" fillId="34" borderId="14" xfId="0" applyFont="1" applyFill="1" applyBorder="1" applyAlignment="1">
      <alignment horizontal="center" wrapText="1"/>
    </xf>
    <xf numFmtId="0" fontId="14" fillId="34" borderId="47" xfId="0" applyFont="1" applyFill="1" applyBorder="1" applyAlignment="1">
      <alignment horizontal="center" wrapText="1"/>
    </xf>
    <xf numFmtId="0" fontId="14" fillId="34" borderId="51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/>
    </xf>
    <xf numFmtId="0" fontId="13" fillId="0" borderId="35" xfId="0" applyFont="1" applyBorder="1" applyAlignment="1">
      <alignment vertical="center" wrapText="1"/>
    </xf>
    <xf numFmtId="0" fontId="24" fillId="0" borderId="52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24" fillId="0" borderId="13" xfId="0" applyFont="1" applyBorder="1" applyAlignment="1">
      <alignment horizontal="center" wrapText="1"/>
    </xf>
    <xf numFmtId="0" fontId="10" fillId="0" borderId="5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4" fillId="12" borderId="12" xfId="0" applyFont="1" applyFill="1" applyBorder="1" applyAlignment="1">
      <alignment wrapText="1"/>
    </xf>
    <xf numFmtId="0" fontId="14" fillId="12" borderId="45" xfId="0" applyFont="1" applyFill="1" applyBorder="1" applyAlignment="1">
      <alignment horizontal="center" wrapText="1"/>
    </xf>
    <xf numFmtId="0" fontId="14" fillId="12" borderId="35" xfId="0" applyFont="1" applyFill="1" applyBorder="1" applyAlignment="1">
      <alignment horizontal="center" wrapText="1"/>
    </xf>
    <xf numFmtId="0" fontId="17" fillId="12" borderId="35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99" fontId="10" fillId="0" borderId="11" xfId="42" applyNumberFormat="1" applyFont="1" applyBorder="1" applyAlignment="1">
      <alignment horizontal="center"/>
    </xf>
    <xf numFmtId="199" fontId="10" fillId="34" borderId="11" xfId="42" applyNumberFormat="1" applyFont="1" applyFill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3" fillId="34" borderId="11" xfId="0" applyFont="1" applyFill="1" applyBorder="1" applyAlignment="1">
      <alignment horizontal="center" wrapText="1"/>
    </xf>
    <xf numFmtId="0" fontId="15" fillId="0" borderId="11" xfId="0" applyFont="1" applyBorder="1" applyAlignment="1">
      <alignment vertical="center" wrapText="1"/>
    </xf>
    <xf numFmtId="0" fontId="39" fillId="12" borderId="11" xfId="0" applyFont="1" applyFill="1" applyBorder="1" applyAlignment="1">
      <alignment wrapText="1"/>
    </xf>
    <xf numFmtId="0" fontId="10" fillId="12" borderId="11" xfId="0" applyFont="1" applyFill="1" applyBorder="1" applyAlignment="1">
      <alignment horizontal="center" wrapText="1"/>
    </xf>
    <xf numFmtId="199" fontId="10" fillId="12" borderId="11" xfId="42" applyNumberFormat="1" applyFont="1" applyFill="1" applyBorder="1" applyAlignment="1">
      <alignment horizontal="center"/>
    </xf>
    <xf numFmtId="199" fontId="19" fillId="12" borderId="11" xfId="42" applyNumberFormat="1" applyFont="1" applyFill="1" applyBorder="1" applyAlignment="1">
      <alignment horizontal="center" wrapText="1"/>
    </xf>
    <xf numFmtId="0" fontId="14" fillId="12" borderId="13" xfId="0" applyFont="1" applyFill="1" applyBorder="1" applyAlignment="1">
      <alignment horizontal="centerContinuous" wrapText="1"/>
    </xf>
    <xf numFmtId="0" fontId="14" fillId="12" borderId="11" xfId="0" applyFont="1" applyFill="1" applyBorder="1" applyAlignment="1">
      <alignment horizontal="centerContinuous" wrapText="1"/>
    </xf>
    <xf numFmtId="0" fontId="14" fillId="12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0" fillId="39" borderId="11" xfId="0" applyFont="1" applyFill="1" applyBorder="1" applyAlignment="1">
      <alignment horizontal="center" wrapText="1"/>
    </xf>
    <xf numFmtId="1" fontId="13" fillId="39" borderId="11" xfId="0" applyNumberFormat="1" applyFont="1" applyFill="1" applyBorder="1" applyAlignment="1">
      <alignment horizontal="center" wrapText="1"/>
    </xf>
    <xf numFmtId="199" fontId="10" fillId="39" borderId="11" xfId="42" applyNumberFormat="1" applyFont="1" applyFill="1" applyBorder="1" applyAlignment="1">
      <alignment horizontal="center"/>
    </xf>
    <xf numFmtId="210" fontId="10" fillId="34" borderId="11" xfId="0" applyNumberFormat="1" applyFont="1" applyFill="1" applyBorder="1" applyAlignment="1">
      <alignment horizontal="centerContinuous" wrapText="1"/>
    </xf>
    <xf numFmtId="0" fontId="16" fillId="0" borderId="11" xfId="0" applyFont="1" applyBorder="1" applyAlignment="1">
      <alignment wrapText="1"/>
    </xf>
    <xf numFmtId="1" fontId="13" fillId="0" borderId="11" xfId="0" applyNumberFormat="1" applyFont="1" applyBorder="1" applyAlignment="1">
      <alignment horizontal="center" wrapText="1"/>
    </xf>
    <xf numFmtId="1" fontId="139" fillId="39" borderId="11" xfId="0" applyNumberFormat="1" applyFont="1" applyFill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199" fontId="10" fillId="0" borderId="0" xfId="42" applyNumberFormat="1" applyFont="1" applyAlignment="1">
      <alignment/>
    </xf>
    <xf numFmtId="0" fontId="13" fillId="12" borderId="11" xfId="0" applyFont="1" applyFill="1" applyBorder="1" applyAlignment="1">
      <alignment vertical="center"/>
    </xf>
    <xf numFmtId="0" fontId="19" fillId="12" borderId="11" xfId="0" applyFont="1" applyFill="1" applyBorder="1" applyAlignment="1">
      <alignment vertical="center" wrapText="1"/>
    </xf>
    <xf numFmtId="0" fontId="13" fillId="12" borderId="12" xfId="0" applyFont="1" applyFill="1" applyBorder="1" applyAlignment="1">
      <alignment vertical="center"/>
    </xf>
    <xf numFmtId="0" fontId="19" fillId="12" borderId="12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left" wrapText="1"/>
    </xf>
    <xf numFmtId="0" fontId="12" fillId="12" borderId="11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left" wrapText="1"/>
    </xf>
    <xf numFmtId="0" fontId="12" fillId="12" borderId="11" xfId="0" applyFont="1" applyFill="1" applyBorder="1" applyAlignment="1">
      <alignment horizontal="center" wrapText="1"/>
    </xf>
    <xf numFmtId="49" fontId="15" fillId="0" borderId="0" xfId="0" applyNumberFormat="1" applyFont="1" applyBorder="1" applyAlignment="1">
      <alignment horizontal="centerContinuous" wrapText="1"/>
    </xf>
    <xf numFmtId="0" fontId="10" fillId="0" borderId="0" xfId="0" applyFont="1" applyAlignment="1">
      <alignment horizontal="center" wrapText="1"/>
    </xf>
    <xf numFmtId="0" fontId="142" fillId="0" borderId="0" xfId="0" applyFont="1" applyAlignment="1">
      <alignment vertical="top" wrapText="1"/>
    </xf>
    <xf numFmtId="0" fontId="142" fillId="0" borderId="0" xfId="0" applyFont="1" applyAlignment="1">
      <alignment/>
    </xf>
    <xf numFmtId="0" fontId="143" fillId="39" borderId="0" xfId="0" applyFont="1" applyFill="1" applyAlignment="1">
      <alignment horizontal="center"/>
    </xf>
    <xf numFmtId="0" fontId="142" fillId="0" borderId="0" xfId="0" applyFont="1" applyAlignment="1">
      <alignment horizontal="left"/>
    </xf>
    <xf numFmtId="0" fontId="119" fillId="0" borderId="11" xfId="0" applyNumberFormat="1" applyFont="1" applyBorder="1" applyAlignment="1">
      <alignment horizontal="left" vertical="center"/>
    </xf>
    <xf numFmtId="0" fontId="9" fillId="34" borderId="0" xfId="0" applyFont="1" applyFill="1" applyBorder="1" applyAlignment="1">
      <alignment horizontal="center" wrapText="1"/>
    </xf>
    <xf numFmtId="0" fontId="119" fillId="0" borderId="11" xfId="120" applyFont="1" applyBorder="1" applyAlignment="1">
      <alignment horizontal="left" wrapText="1"/>
      <protection/>
    </xf>
    <xf numFmtId="0" fontId="119" fillId="34" borderId="11" xfId="0" applyFont="1" applyFill="1" applyBorder="1" applyAlignment="1">
      <alignment wrapText="1"/>
    </xf>
    <xf numFmtId="0" fontId="131" fillId="33" borderId="10" xfId="0" applyFont="1" applyFill="1" applyBorder="1" applyAlignment="1">
      <alignment horizontal="left" wrapText="1"/>
    </xf>
    <xf numFmtId="0" fontId="119" fillId="0" borderId="11" xfId="0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left" vertical="center" wrapText="1"/>
    </xf>
    <xf numFmtId="0" fontId="122" fillId="39" borderId="0" xfId="0" applyFont="1" applyFill="1" applyAlignment="1">
      <alignment horizontal="left" wrapText="1"/>
    </xf>
    <xf numFmtId="0" fontId="131" fillId="33" borderId="0" xfId="0" applyFont="1" applyFill="1" applyBorder="1" applyAlignment="1">
      <alignment horizontal="left" wrapText="1"/>
    </xf>
    <xf numFmtId="0" fontId="119" fillId="33" borderId="0" xfId="0" applyFont="1" applyFill="1" applyBorder="1" applyAlignment="1">
      <alignment horizontal="left" vertical="center" wrapText="1"/>
    </xf>
    <xf numFmtId="0" fontId="12" fillId="34" borderId="0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 wrapText="1"/>
    </xf>
    <xf numFmtId="0" fontId="119" fillId="0" borderId="0" xfId="0" applyFont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22" fillId="34" borderId="0" xfId="0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 wrapText="1"/>
    </xf>
    <xf numFmtId="0" fontId="22" fillId="34" borderId="0" xfId="0" applyFont="1" applyFill="1" applyBorder="1" applyAlignment="1">
      <alignment horizontal="centerContinuous" wrapText="1"/>
    </xf>
    <xf numFmtId="0" fontId="12" fillId="34" borderId="0" xfId="0" applyFont="1" applyFill="1" applyBorder="1" applyAlignment="1">
      <alignment horizontal="centerContinuous" wrapText="1"/>
    </xf>
    <xf numFmtId="0" fontId="12" fillId="34" borderId="0" xfId="0" applyFont="1" applyFill="1" applyAlignment="1">
      <alignment wrapText="1"/>
    </xf>
    <xf numFmtId="2" fontId="22" fillId="34" borderId="0" xfId="0" applyNumberFormat="1" applyFont="1" applyFill="1" applyBorder="1" applyAlignment="1">
      <alignment wrapText="1"/>
    </xf>
    <xf numFmtId="0" fontId="12" fillId="34" borderId="0" xfId="0" applyFont="1" applyFill="1" applyAlignment="1">
      <alignment horizontal="center"/>
    </xf>
    <xf numFmtId="2" fontId="22" fillId="34" borderId="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centerContinuous" wrapText="1"/>
    </xf>
    <xf numFmtId="2" fontId="12" fillId="34" borderId="0" xfId="0" applyNumberFormat="1" applyFont="1" applyFill="1" applyBorder="1" applyAlignment="1">
      <alignment wrapText="1"/>
    </xf>
    <xf numFmtId="2" fontId="12" fillId="34" borderId="0" xfId="0" applyNumberFormat="1" applyFont="1" applyFill="1" applyAlignment="1">
      <alignment/>
    </xf>
    <xf numFmtId="0" fontId="12" fillId="34" borderId="0" xfId="0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2" fontId="12" fillId="34" borderId="0" xfId="0" applyNumberFormat="1" applyFont="1" applyFill="1" applyBorder="1" applyAlignment="1">
      <alignment/>
    </xf>
    <xf numFmtId="0" fontId="22" fillId="34" borderId="0" xfId="0" applyFont="1" applyFill="1" applyAlignment="1">
      <alignment wrapText="1"/>
    </xf>
    <xf numFmtId="0" fontId="12" fillId="34" borderId="0" xfId="0" applyFont="1" applyFill="1" applyAlignment="1">
      <alignment horizontal="center" wrapText="1"/>
    </xf>
    <xf numFmtId="2" fontId="12" fillId="34" borderId="0" xfId="0" applyNumberFormat="1" applyFont="1" applyFill="1" applyAlignment="1">
      <alignment wrapText="1"/>
    </xf>
    <xf numFmtId="2" fontId="12" fillId="34" borderId="0" xfId="0" applyNumberFormat="1" applyFont="1" applyFill="1" applyAlignment="1">
      <alignment horizontal="center" wrapText="1"/>
    </xf>
    <xf numFmtId="0" fontId="22" fillId="34" borderId="0" xfId="0" applyFont="1" applyFill="1" applyAlignment="1">
      <alignment horizontal="center" wrapText="1"/>
    </xf>
    <xf numFmtId="2" fontId="22" fillId="34" borderId="0" xfId="0" applyNumberFormat="1" applyFont="1" applyFill="1" applyAlignment="1">
      <alignment wrapText="1"/>
    </xf>
    <xf numFmtId="2" fontId="22" fillId="34" borderId="0" xfId="0" applyNumberFormat="1" applyFont="1" applyFill="1" applyAlignment="1">
      <alignment horizontal="center" wrapText="1"/>
    </xf>
    <xf numFmtId="0" fontId="22" fillId="34" borderId="0" xfId="0" applyFont="1" applyFill="1" applyBorder="1" applyAlignment="1">
      <alignment wrapText="1"/>
    </xf>
    <xf numFmtId="0" fontId="144" fillId="34" borderId="53" xfId="0" applyFont="1" applyFill="1" applyBorder="1" applyAlignment="1">
      <alignment vertical="center" wrapText="1"/>
    </xf>
    <xf numFmtId="0" fontId="144" fillId="34" borderId="54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 wrapText="1"/>
    </xf>
    <xf numFmtId="0" fontId="144" fillId="34" borderId="55" xfId="0" applyFont="1" applyFill="1" applyBorder="1" applyAlignment="1">
      <alignment vertical="center" wrapText="1"/>
    </xf>
    <xf numFmtId="0" fontId="12" fillId="34" borderId="45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2" fontId="22" fillId="34" borderId="45" xfId="0" applyNumberFormat="1" applyFont="1" applyFill="1" applyBorder="1" applyAlignment="1">
      <alignment vertical="center" wrapText="1"/>
    </xf>
    <xf numFmtId="2" fontId="22" fillId="34" borderId="45" xfId="0" applyNumberFormat="1" applyFont="1" applyFill="1" applyBorder="1" applyAlignment="1">
      <alignment horizontal="center" vertical="center" wrapText="1"/>
    </xf>
    <xf numFmtId="49" fontId="12" fillId="34" borderId="0" xfId="0" applyNumberFormat="1" applyFont="1" applyFill="1" applyAlignment="1">
      <alignment vertical="center" wrapText="1"/>
    </xf>
    <xf numFmtId="0" fontId="12" fillId="34" borderId="11" xfId="0" applyFont="1" applyFill="1" applyBorder="1" applyAlignment="1">
      <alignment horizontal="center"/>
    </xf>
    <xf numFmtId="2" fontId="12" fillId="34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22" fillId="34" borderId="35" xfId="0" applyFont="1" applyFill="1" applyBorder="1" applyAlignment="1">
      <alignment horizontal="left" wrapText="1"/>
    </xf>
    <xf numFmtId="188" fontId="12" fillId="34" borderId="11" xfId="0" applyNumberFormat="1" applyFont="1" applyFill="1" applyBorder="1" applyAlignment="1">
      <alignment horizontal="center"/>
    </xf>
    <xf numFmtId="188" fontId="22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/>
    </xf>
    <xf numFmtId="1" fontId="125" fillId="34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124" fillId="14" borderId="56" xfId="81" applyFont="1" applyFill="1" applyBorder="1" applyAlignment="1">
      <alignment horizontal="center" vertical="center"/>
      <protection/>
    </xf>
    <xf numFmtId="0" fontId="124" fillId="14" borderId="56" xfId="81" applyFont="1" applyFill="1" applyBorder="1" applyAlignment="1">
      <alignment horizontal="center" vertical="center" wrapText="1"/>
      <protection/>
    </xf>
    <xf numFmtId="0" fontId="144" fillId="14" borderId="56" xfId="81" applyFont="1" applyFill="1" applyBorder="1" applyAlignment="1">
      <alignment horizontal="center" vertical="center" wrapText="1"/>
      <protection/>
    </xf>
    <xf numFmtId="0" fontId="125" fillId="14" borderId="14" xfId="81" applyFont="1" applyFill="1" applyBorder="1" applyAlignment="1">
      <alignment horizontal="center" vertical="center" wrapText="1"/>
      <protection/>
    </xf>
    <xf numFmtId="0" fontId="22" fillId="14" borderId="11" xfId="81" applyFont="1" applyFill="1" applyBorder="1" applyAlignment="1">
      <alignment horizontal="center" vertical="center" wrapText="1"/>
      <protection/>
    </xf>
    <xf numFmtId="1" fontId="22" fillId="14" borderId="11" xfId="81" applyNumberFormat="1" applyFont="1" applyFill="1" applyBorder="1" applyAlignment="1">
      <alignment horizontal="center" vertical="center" wrapText="1"/>
      <protection/>
    </xf>
    <xf numFmtId="188" fontId="22" fillId="14" borderId="11" xfId="81" applyNumberFormat="1" applyFont="1" applyFill="1" applyBorder="1" applyAlignment="1">
      <alignment horizontal="center" vertical="center" wrapText="1"/>
      <protection/>
    </xf>
    <xf numFmtId="0" fontId="144" fillId="34" borderId="56" xfId="0" applyFont="1" applyFill="1" applyBorder="1" applyAlignment="1">
      <alignment vertical="center"/>
    </xf>
    <xf numFmtId="0" fontId="124" fillId="8" borderId="56" xfId="0" applyFont="1" applyFill="1" applyBorder="1" applyAlignment="1">
      <alignment horizontal="center" vertical="center" wrapText="1"/>
    </xf>
    <xf numFmtId="0" fontId="144" fillId="8" borderId="56" xfId="0" applyFont="1" applyFill="1" applyBorder="1" applyAlignment="1">
      <alignment horizontal="center" vertical="center" wrapText="1"/>
    </xf>
    <xf numFmtId="0" fontId="124" fillId="8" borderId="57" xfId="0" applyFont="1" applyFill="1" applyBorder="1" applyAlignment="1">
      <alignment horizontal="center" vertical="center" wrapText="1"/>
    </xf>
    <xf numFmtId="0" fontId="124" fillId="8" borderId="11" xfId="0" applyFont="1" applyFill="1" applyBorder="1" applyAlignment="1">
      <alignment horizontal="center" vertical="center" wrapText="1"/>
    </xf>
    <xf numFmtId="0" fontId="12" fillId="8" borderId="11" xfId="0" applyFont="1" applyFill="1" applyBorder="1" applyAlignment="1">
      <alignment horizontal="center" vertical="center" wrapText="1"/>
    </xf>
    <xf numFmtId="188" fontId="22" fillId="8" borderId="11" xfId="0" applyNumberFormat="1" applyFont="1" applyFill="1" applyBorder="1" applyAlignment="1">
      <alignment horizontal="center" vertical="center" wrapText="1"/>
    </xf>
    <xf numFmtId="2" fontId="12" fillId="8" borderId="11" xfId="0" applyNumberFormat="1" applyFont="1" applyFill="1" applyBorder="1" applyAlignment="1">
      <alignment horizontal="center" vertical="center" wrapText="1"/>
    </xf>
    <xf numFmtId="0" fontId="144" fillId="34" borderId="53" xfId="0" applyFont="1" applyFill="1" applyBorder="1" applyAlignment="1">
      <alignment vertical="center"/>
    </xf>
    <xf numFmtId="0" fontId="12" fillId="13" borderId="56" xfId="0" applyFont="1" applyFill="1" applyBorder="1" applyAlignment="1">
      <alignment horizontal="center" vertical="center" wrapText="1"/>
    </xf>
    <xf numFmtId="0" fontId="12" fillId="13" borderId="57" xfId="0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188" fontId="22" fillId="34" borderId="11" xfId="0" applyNumberFormat="1" applyFont="1" applyFill="1" applyBorder="1" applyAlignment="1">
      <alignment horizontal="center" vertical="center" wrapText="1"/>
    </xf>
    <xf numFmtId="2" fontId="12" fillId="3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188" fontId="22" fillId="4" borderId="11" xfId="0" applyNumberFormat="1" applyFont="1" applyFill="1" applyBorder="1" applyAlignment="1">
      <alignment horizontal="center" vertical="center" wrapText="1"/>
    </xf>
    <xf numFmtId="2" fontId="12" fillId="4" borderId="11" xfId="0" applyNumberFormat="1" applyFont="1" applyFill="1" applyBorder="1" applyAlignment="1">
      <alignment horizontal="center" vertical="center" wrapText="1"/>
    </xf>
    <xf numFmtId="188" fontId="12" fillId="34" borderId="11" xfId="0" applyNumberFormat="1" applyFont="1" applyFill="1" applyBorder="1" applyAlignment="1">
      <alignment horizontal="center" vertical="center" wrapText="1"/>
    </xf>
    <xf numFmtId="49" fontId="145" fillId="34" borderId="11" xfId="0" applyNumberFormat="1" applyFont="1" applyFill="1" applyBorder="1" applyAlignment="1">
      <alignment horizontal="left" vertical="center" wrapText="1"/>
    </xf>
    <xf numFmtId="0" fontId="12" fillId="34" borderId="11" xfId="0" applyFont="1" applyFill="1" applyBorder="1" applyAlignment="1">
      <alignment/>
    </xf>
    <xf numFmtId="198" fontId="12" fillId="34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29" fillId="0" borderId="11" xfId="102" applyNumberFormat="1" applyFont="1" applyFill="1" applyBorder="1" applyAlignment="1">
      <alignment horizontal="center" vertical="center" wrapText="1"/>
      <protection/>
    </xf>
    <xf numFmtId="188" fontId="29" fillId="0" borderId="11" xfId="102" applyNumberFormat="1" applyFont="1" applyFill="1" applyBorder="1" applyAlignment="1">
      <alignment horizontal="center" vertical="center" wrapText="1"/>
      <protection/>
    </xf>
    <xf numFmtId="0" fontId="29" fillId="0" borderId="11" xfId="102" applyFont="1" applyFill="1" applyBorder="1" applyAlignment="1">
      <alignment horizontal="center" vertical="center" wrapText="1"/>
      <protection/>
    </xf>
    <xf numFmtId="0" fontId="12" fillId="34" borderId="14" xfId="0" applyFont="1" applyFill="1" applyBorder="1" applyAlignment="1">
      <alignment wrapText="1"/>
    </xf>
    <xf numFmtId="2" fontId="22" fillId="39" borderId="11" xfId="0" applyNumberFormat="1" applyFont="1" applyFill="1" applyBorder="1" applyAlignment="1">
      <alignment horizontal="center" vertical="center" wrapText="1"/>
    </xf>
    <xf numFmtId="4" fontId="12" fillId="34" borderId="11" xfId="0" applyNumberFormat="1" applyFont="1" applyFill="1" applyBorder="1" applyAlignment="1">
      <alignment/>
    </xf>
    <xf numFmtId="2" fontId="12" fillId="34" borderId="11" xfId="0" applyNumberFormat="1" applyFont="1" applyFill="1" applyBorder="1" applyAlignment="1">
      <alignment/>
    </xf>
    <xf numFmtId="198" fontId="44" fillId="34" borderId="0" xfId="0" applyNumberFormat="1" applyFont="1" applyFill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/>
    </xf>
    <xf numFmtId="1" fontId="12" fillId="0" borderId="11" xfId="102" applyNumberFormat="1" applyFont="1" applyFill="1" applyBorder="1" applyAlignment="1">
      <alignment horizontal="center" vertical="center" wrapText="1"/>
      <protection/>
    </xf>
    <xf numFmtId="49" fontId="145" fillId="34" borderId="11" xfId="0" applyNumberFormat="1" applyFont="1" applyFill="1" applyBorder="1" applyAlignment="1">
      <alignment/>
    </xf>
    <xf numFmtId="198" fontId="44" fillId="34" borderId="11" xfId="0" applyNumberFormat="1" applyFont="1" applyFill="1" applyBorder="1" applyAlignment="1">
      <alignment horizontal="center" vertical="center" wrapText="1"/>
    </xf>
    <xf numFmtId="49" fontId="145" fillId="34" borderId="11" xfId="0" applyNumberFormat="1" applyFont="1" applyFill="1" applyBorder="1" applyAlignment="1">
      <alignment wrapText="1"/>
    </xf>
    <xf numFmtId="188" fontId="145" fillId="34" borderId="11" xfId="0" applyNumberFormat="1" applyFont="1" applyFill="1" applyBorder="1" applyAlignment="1">
      <alignment horizontal="center" vertical="center" wrapText="1"/>
    </xf>
    <xf numFmtId="0" fontId="144" fillId="34" borderId="11" xfId="0" applyFont="1" applyFill="1" applyBorder="1" applyAlignment="1">
      <alignment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144" fillId="8" borderId="56" xfId="0" applyFont="1" applyFill="1" applyBorder="1" applyAlignment="1">
      <alignment vertical="center" wrapText="1"/>
    </xf>
    <xf numFmtId="0" fontId="124" fillId="8" borderId="57" xfId="0" applyFont="1" applyFill="1" applyBorder="1" applyAlignment="1">
      <alignment vertical="center" wrapText="1"/>
    </xf>
    <xf numFmtId="0" fontId="12" fillId="8" borderId="11" xfId="0" applyFont="1" applyFill="1" applyBorder="1" applyAlignment="1">
      <alignment/>
    </xf>
    <xf numFmtId="188" fontId="22" fillId="8" borderId="11" xfId="0" applyNumberFormat="1" applyFont="1" applyFill="1" applyBorder="1" applyAlignment="1">
      <alignment horizontal="center" vertical="center"/>
    </xf>
    <xf numFmtId="2" fontId="12" fillId="8" borderId="11" xfId="0" applyNumberFormat="1" applyFont="1" applyFill="1" applyBorder="1" applyAlignment="1">
      <alignment/>
    </xf>
    <xf numFmtId="2" fontId="12" fillId="8" borderId="11" xfId="0" applyNumberFormat="1" applyFont="1" applyFill="1" applyBorder="1" applyAlignment="1">
      <alignment/>
    </xf>
    <xf numFmtId="215" fontId="12" fillId="0" borderId="11" xfId="106" applyNumberFormat="1" applyFont="1" applyFill="1" applyBorder="1" applyAlignment="1">
      <alignment horizontal="center" vertical="center" wrapText="1"/>
    </xf>
    <xf numFmtId="49" fontId="145" fillId="0" borderId="11" xfId="0" applyNumberFormat="1" applyFont="1" applyBorder="1" applyAlignment="1">
      <alignment wrapText="1"/>
    </xf>
    <xf numFmtId="221" fontId="145" fillId="0" borderId="11" xfId="0" applyNumberFormat="1" applyFont="1" applyBorder="1" applyAlignment="1">
      <alignment horizontal="center" vertical="center" wrapText="1"/>
    </xf>
    <xf numFmtId="188" fontId="145" fillId="0" borderId="11" xfId="0" applyNumberFormat="1" applyFont="1" applyBorder="1" applyAlignment="1">
      <alignment horizontal="center" vertical="center" wrapText="1"/>
    </xf>
    <xf numFmtId="188" fontId="12" fillId="0" borderId="11" xfId="102" applyNumberFormat="1" applyFont="1" applyFill="1" applyBorder="1" applyAlignment="1">
      <alignment horizontal="center" vertical="center" wrapText="1"/>
      <protection/>
    </xf>
    <xf numFmtId="2" fontId="12" fillId="39" borderId="11" xfId="0" applyNumberFormat="1" applyFont="1" applyFill="1" applyBorder="1" applyAlignment="1">
      <alignment horizontal="center" vertical="center" wrapText="1"/>
    </xf>
    <xf numFmtId="2" fontId="29" fillId="0" borderId="11" xfId="102" applyNumberFormat="1" applyFont="1" applyFill="1" applyBorder="1" applyAlignment="1">
      <alignment horizontal="center" vertical="center" wrapText="1"/>
      <protection/>
    </xf>
    <xf numFmtId="49" fontId="145" fillId="0" borderId="11" xfId="0" applyNumberFormat="1" applyFont="1" applyBorder="1" applyAlignment="1">
      <alignment/>
    </xf>
    <xf numFmtId="198" fontId="145" fillId="0" borderId="11" xfId="0" applyNumberFormat="1" applyFont="1" applyBorder="1" applyAlignment="1">
      <alignment horizontal="center" vertical="center" wrapText="1"/>
    </xf>
    <xf numFmtId="2" fontId="12" fillId="34" borderId="0" xfId="0" applyNumberFormat="1" applyFont="1" applyFill="1" applyAlignment="1">
      <alignment/>
    </xf>
    <xf numFmtId="49" fontId="145" fillId="0" borderId="14" xfId="0" applyNumberFormat="1" applyFont="1" applyBorder="1" applyAlignment="1">
      <alignment wrapText="1"/>
    </xf>
    <xf numFmtId="1" fontId="122" fillId="33" borderId="0" xfId="0" applyNumberFormat="1" applyFont="1" applyFill="1" applyAlignment="1">
      <alignment horizontal="left"/>
    </xf>
    <xf numFmtId="1" fontId="119" fillId="0" borderId="0" xfId="0" applyNumberFormat="1" applyFont="1" applyFill="1" applyAlignment="1">
      <alignment horizontal="left" vertical="center"/>
    </xf>
    <xf numFmtId="0" fontId="146" fillId="10" borderId="11" xfId="0" applyFont="1" applyFill="1" applyBorder="1" applyAlignment="1">
      <alignment horizontal="left" wrapText="1"/>
    </xf>
    <xf numFmtId="188" fontId="122" fillId="10" borderId="11" xfId="0" applyNumberFormat="1" applyFont="1" applyFill="1" applyBorder="1" applyAlignment="1">
      <alignment horizontal="left" wrapText="1"/>
    </xf>
    <xf numFmtId="0" fontId="122" fillId="34" borderId="0" xfId="0" applyFont="1" applyFill="1" applyAlignment="1">
      <alignment horizontal="left"/>
    </xf>
    <xf numFmtId="0" fontId="119" fillId="0" borderId="29" xfId="0" applyFont="1" applyBorder="1" applyAlignment="1">
      <alignment horizontal="left" vertical="center" wrapText="1"/>
    </xf>
    <xf numFmtId="188" fontId="119" fillId="33" borderId="11" xfId="0" applyNumberFormat="1" applyFont="1" applyFill="1" applyBorder="1" applyAlignment="1">
      <alignment horizontal="center" vertical="center" wrapText="1"/>
    </xf>
    <xf numFmtId="0" fontId="121" fillId="0" borderId="0" xfId="0" applyFont="1" applyAlignment="1">
      <alignment horizontal="left"/>
    </xf>
    <xf numFmtId="0" fontId="122" fillId="0" borderId="0" xfId="0" applyFont="1" applyAlignment="1">
      <alignment horizontal="left" vertical="center"/>
    </xf>
    <xf numFmtId="0" fontId="121" fillId="0" borderId="0" xfId="0" applyFont="1" applyAlignment="1">
      <alignment horizontal="left"/>
    </xf>
    <xf numFmtId="0" fontId="122" fillId="40" borderId="58" xfId="0" applyFont="1" applyFill="1" applyBorder="1" applyAlignment="1">
      <alignment horizontal="left" vertical="center" wrapText="1"/>
    </xf>
    <xf numFmtId="0" fontId="122" fillId="40" borderId="38" xfId="0" applyFont="1" applyFill="1" applyBorder="1" applyAlignment="1">
      <alignment horizontal="left" vertical="center" wrapText="1"/>
    </xf>
    <xf numFmtId="0" fontId="121" fillId="0" borderId="0" xfId="0" applyFont="1" applyAlignment="1">
      <alignment horizontal="left" wrapText="1"/>
    </xf>
    <xf numFmtId="0" fontId="122" fillId="40" borderId="59" xfId="0" applyFont="1" applyFill="1" applyBorder="1" applyAlignment="1">
      <alignment horizontal="left" vertical="center" wrapText="1"/>
    </xf>
    <xf numFmtId="0" fontId="122" fillId="40" borderId="0" xfId="0" applyFont="1" applyFill="1" applyBorder="1" applyAlignment="1">
      <alignment horizontal="left" vertical="center" wrapText="1"/>
    </xf>
    <xf numFmtId="0" fontId="121" fillId="40" borderId="60" xfId="0" applyFont="1" applyFill="1" applyBorder="1" applyAlignment="1">
      <alignment horizontal="left" vertical="top" wrapText="1"/>
    </xf>
    <xf numFmtId="0" fontId="122" fillId="40" borderId="60" xfId="0" applyFont="1" applyFill="1" applyBorder="1" applyAlignment="1">
      <alignment horizontal="left" vertical="center" wrapText="1"/>
    </xf>
    <xf numFmtId="0" fontId="121" fillId="40" borderId="10" xfId="0" applyFont="1" applyFill="1" applyBorder="1" applyAlignment="1">
      <alignment horizontal="left" vertical="top" wrapText="1"/>
    </xf>
    <xf numFmtId="0" fontId="119" fillId="0" borderId="44" xfId="0" applyFont="1" applyBorder="1" applyAlignment="1">
      <alignment horizontal="left" vertical="center" wrapText="1"/>
    </xf>
    <xf numFmtId="0" fontId="119" fillId="0" borderId="60" xfId="0" applyFont="1" applyBorder="1" applyAlignment="1">
      <alignment horizontal="left" vertical="center" wrapText="1"/>
    </xf>
    <xf numFmtId="0" fontId="120" fillId="0" borderId="60" xfId="0" applyFont="1" applyBorder="1" applyAlignment="1">
      <alignment horizontal="left" vertical="center" wrapText="1"/>
    </xf>
    <xf numFmtId="0" fontId="120" fillId="0" borderId="10" xfId="0" applyFont="1" applyBorder="1" applyAlignment="1">
      <alignment horizontal="left" vertical="center" wrapText="1"/>
    </xf>
    <xf numFmtId="188" fontId="121" fillId="0" borderId="11" xfId="0" applyNumberFormat="1" applyFont="1" applyBorder="1" applyAlignment="1">
      <alignment horizontal="left"/>
    </xf>
    <xf numFmtId="0" fontId="120" fillId="0" borderId="59" xfId="0" applyFont="1" applyBorder="1" applyAlignment="1">
      <alignment horizontal="left" vertical="center" wrapText="1"/>
    </xf>
    <xf numFmtId="3" fontId="120" fillId="0" borderId="0" xfId="0" applyNumberFormat="1" applyFont="1" applyBorder="1" applyAlignment="1">
      <alignment horizontal="left" vertical="center" wrapText="1"/>
    </xf>
    <xf numFmtId="3" fontId="122" fillId="0" borderId="0" xfId="0" applyNumberFormat="1" applyFont="1" applyBorder="1" applyAlignment="1">
      <alignment horizontal="left" vertical="center" wrapText="1"/>
    </xf>
    <xf numFmtId="188" fontId="147" fillId="0" borderId="11" xfId="0" applyNumberFormat="1" applyFont="1" applyBorder="1" applyAlignment="1">
      <alignment horizontal="left"/>
    </xf>
    <xf numFmtId="0" fontId="122" fillId="0" borderId="10" xfId="0" applyFont="1" applyBorder="1" applyAlignment="1">
      <alignment horizontal="left" vertical="center" wrapText="1"/>
    </xf>
    <xf numFmtId="0" fontId="121" fillId="0" borderId="11" xfId="0" applyFont="1" applyBorder="1" applyAlignment="1">
      <alignment horizontal="left"/>
    </xf>
    <xf numFmtId="0" fontId="122" fillId="0" borderId="0" xfId="0" applyFont="1" applyBorder="1" applyAlignment="1">
      <alignment horizontal="left" vertical="center" wrapText="1"/>
    </xf>
    <xf numFmtId="188" fontId="148" fillId="0" borderId="0" xfId="0" applyNumberFormat="1" applyFont="1" applyAlignment="1">
      <alignment horizontal="left"/>
    </xf>
    <xf numFmtId="0" fontId="120" fillId="0" borderId="0" xfId="0" applyFont="1" applyBorder="1" applyAlignment="1">
      <alignment horizontal="left" vertical="center" wrapText="1"/>
    </xf>
    <xf numFmtId="188" fontId="121" fillId="0" borderId="12" xfId="0" applyNumberFormat="1" applyFont="1" applyBorder="1" applyAlignment="1">
      <alignment horizontal="left"/>
    </xf>
    <xf numFmtId="3" fontId="122" fillId="0" borderId="11" xfId="0" applyNumberFormat="1" applyFont="1" applyBorder="1" applyAlignment="1">
      <alignment horizontal="left" vertical="center" wrapText="1"/>
    </xf>
    <xf numFmtId="0" fontId="10" fillId="33" borderId="0" xfId="81" applyFont="1" applyFill="1" applyAlignment="1">
      <alignment horizontal="center"/>
      <protection/>
    </xf>
    <xf numFmtId="0" fontId="10" fillId="34" borderId="0" xfId="81" applyFont="1" applyFill="1">
      <alignment/>
      <protection/>
    </xf>
    <xf numFmtId="0" fontId="13" fillId="33" borderId="0" xfId="81" applyFont="1" applyFill="1" applyBorder="1" applyAlignment="1">
      <alignment horizontal="center" wrapText="1"/>
      <protection/>
    </xf>
    <xf numFmtId="0" fontId="13" fillId="33" borderId="0" xfId="81" applyFont="1" applyFill="1" applyBorder="1" applyAlignment="1">
      <alignment/>
      <protection/>
    </xf>
    <xf numFmtId="0" fontId="22" fillId="33" borderId="10" xfId="81" applyFont="1" applyFill="1" applyBorder="1" applyAlignment="1">
      <alignment horizontal="left" wrapText="1"/>
      <protection/>
    </xf>
    <xf numFmtId="0" fontId="11" fillId="33" borderId="10" xfId="81" applyFont="1" applyFill="1" applyBorder="1" applyAlignment="1">
      <alignment horizontal="left" wrapText="1"/>
      <protection/>
    </xf>
    <xf numFmtId="0" fontId="10" fillId="33" borderId="0" xfId="81" applyFont="1" applyFill="1" applyAlignment="1">
      <alignment horizontal="left"/>
      <protection/>
    </xf>
    <xf numFmtId="0" fontId="10" fillId="33" borderId="0" xfId="81" applyFont="1" applyFill="1" applyBorder="1" applyAlignment="1">
      <alignment horizontal="left"/>
      <protection/>
    </xf>
    <xf numFmtId="0" fontId="10" fillId="0" borderId="0" xfId="81" applyFont="1" applyBorder="1" applyAlignment="1">
      <alignment horizontal="left"/>
      <protection/>
    </xf>
    <xf numFmtId="0" fontId="11" fillId="33" borderId="0" xfId="81" applyFont="1" applyFill="1" applyBorder="1" applyAlignment="1">
      <alignment horizontal="centerContinuous" wrapText="1"/>
      <protection/>
    </xf>
    <xf numFmtId="0" fontId="10" fillId="33" borderId="0" xfId="81" applyFont="1" applyFill="1" applyBorder="1">
      <alignment/>
      <protection/>
    </xf>
    <xf numFmtId="0" fontId="13" fillId="33" borderId="39" xfId="81" applyFont="1" applyFill="1" applyBorder="1" applyAlignment="1">
      <alignment horizontal="centerContinuous" wrapText="1"/>
      <protection/>
    </xf>
    <xf numFmtId="0" fontId="11" fillId="33" borderId="39" xfId="81" applyFont="1" applyFill="1" applyBorder="1" applyAlignment="1">
      <alignment horizontal="centerContinuous" wrapText="1"/>
      <protection/>
    </xf>
    <xf numFmtId="0" fontId="10" fillId="0" borderId="0" xfId="81" applyFont="1" applyBorder="1">
      <alignment/>
      <protection/>
    </xf>
    <xf numFmtId="0" fontId="10" fillId="33" borderId="11" xfId="81" applyFont="1" applyFill="1" applyBorder="1" applyAlignment="1">
      <alignment horizontal="center"/>
      <protection/>
    </xf>
    <xf numFmtId="0" fontId="10" fillId="33" borderId="11" xfId="81" applyFont="1" applyFill="1" applyBorder="1" applyAlignment="1">
      <alignment horizontal="center" wrapText="1"/>
      <protection/>
    </xf>
    <xf numFmtId="0" fontId="32" fillId="2" borderId="11" xfId="81" applyFont="1" applyFill="1" applyBorder="1">
      <alignment/>
      <protection/>
    </xf>
    <xf numFmtId="0" fontId="32" fillId="2" borderId="11" xfId="81" applyFont="1" applyFill="1" applyBorder="1" applyAlignment="1">
      <alignment horizontal="center"/>
      <protection/>
    </xf>
    <xf numFmtId="0" fontId="10" fillId="0" borderId="0" xfId="81" applyFont="1">
      <alignment/>
      <protection/>
    </xf>
    <xf numFmtId="0" fontId="10" fillId="33" borderId="11" xfId="81" applyFont="1" applyFill="1" applyBorder="1" applyAlignment="1">
      <alignment horizontal="left" indent="2"/>
      <protection/>
    </xf>
    <xf numFmtId="0" fontId="32" fillId="2" borderId="11" xfId="89" applyFont="1" applyFill="1" applyBorder="1">
      <alignment/>
      <protection/>
    </xf>
    <xf numFmtId="0" fontId="32" fillId="2" borderId="11" xfId="89" applyFont="1" applyFill="1" applyBorder="1" applyAlignment="1">
      <alignment horizontal="center"/>
      <protection/>
    </xf>
    <xf numFmtId="0" fontId="13" fillId="33" borderId="11" xfId="81" applyFont="1" applyFill="1" applyBorder="1">
      <alignment/>
      <protection/>
    </xf>
    <xf numFmtId="0" fontId="13" fillId="33" borderId="11" xfId="81" applyFont="1" applyFill="1" applyBorder="1" applyAlignment="1">
      <alignment horizontal="center"/>
      <protection/>
    </xf>
    <xf numFmtId="0" fontId="13" fillId="33" borderId="11" xfId="81" applyFont="1" applyFill="1" applyBorder="1" applyAlignment="1">
      <alignment wrapText="1"/>
      <protection/>
    </xf>
    <xf numFmtId="0" fontId="10" fillId="33" borderId="11" xfId="81" applyFont="1" applyFill="1" applyBorder="1">
      <alignment/>
      <protection/>
    </xf>
    <xf numFmtId="0" fontId="149" fillId="0" borderId="0" xfId="81" applyFont="1" applyAlignment="1">
      <alignment horizontal="justify" vertical="center"/>
      <protection/>
    </xf>
    <xf numFmtId="0" fontId="149" fillId="0" borderId="0" xfId="81" applyFont="1">
      <alignment/>
      <protection/>
    </xf>
    <xf numFmtId="0" fontId="23" fillId="0" borderId="12" xfId="114" applyFont="1" applyFill="1" applyBorder="1" applyAlignment="1">
      <alignment vertical="center"/>
      <protection/>
    </xf>
    <xf numFmtId="1" fontId="10" fillId="33" borderId="11" xfId="81" applyNumberFormat="1" applyFont="1" applyFill="1" applyBorder="1" applyAlignment="1">
      <alignment horizontal="center"/>
      <protection/>
    </xf>
    <xf numFmtId="0" fontId="16" fillId="33" borderId="11" xfId="114" applyFont="1" applyFill="1" applyBorder="1">
      <alignment/>
      <protection/>
    </xf>
    <xf numFmtId="0" fontId="10" fillId="34" borderId="11" xfId="81" applyFont="1" applyFill="1" applyBorder="1" applyAlignment="1">
      <alignment horizontal="center"/>
      <protection/>
    </xf>
    <xf numFmtId="0" fontId="140" fillId="33" borderId="11" xfId="81" applyFont="1" applyFill="1" applyBorder="1">
      <alignment/>
      <protection/>
    </xf>
    <xf numFmtId="0" fontId="139" fillId="33" borderId="11" xfId="81" applyFont="1" applyFill="1" applyBorder="1">
      <alignment/>
      <protection/>
    </xf>
    <xf numFmtId="0" fontId="32" fillId="2" borderId="11" xfId="81" applyFont="1" applyFill="1" applyBorder="1" applyAlignment="1">
      <alignment wrapText="1"/>
      <protection/>
    </xf>
    <xf numFmtId="0" fontId="47" fillId="2" borderId="11" xfId="81" applyFont="1" applyFill="1" applyBorder="1" applyAlignment="1">
      <alignment horizontal="center"/>
      <protection/>
    </xf>
    <xf numFmtId="0" fontId="16" fillId="33" borderId="11" xfId="114" applyFont="1" applyFill="1" applyBorder="1" applyAlignment="1">
      <alignment wrapText="1"/>
      <protection/>
    </xf>
    <xf numFmtId="0" fontId="48" fillId="33" borderId="11" xfId="81" applyFont="1" applyFill="1" applyBorder="1" applyAlignment="1">
      <alignment vertical="center" wrapText="1"/>
      <protection/>
    </xf>
    <xf numFmtId="0" fontId="48" fillId="33" borderId="11" xfId="81" applyFont="1" applyFill="1" applyBorder="1" applyAlignment="1">
      <alignment horizontal="center"/>
      <protection/>
    </xf>
    <xf numFmtId="0" fontId="13" fillId="0" borderId="0" xfId="81" applyFont="1">
      <alignment/>
      <protection/>
    </xf>
    <xf numFmtId="0" fontId="10" fillId="0" borderId="0" xfId="81" applyFont="1" applyAlignment="1">
      <alignment horizontal="center"/>
      <protection/>
    </xf>
    <xf numFmtId="49" fontId="119" fillId="2" borderId="35" xfId="0" applyNumberFormat="1" applyFont="1" applyFill="1" applyBorder="1" applyAlignment="1">
      <alignment horizontal="center" wrapText="1"/>
    </xf>
    <xf numFmtId="2" fontId="122" fillId="2" borderId="35" xfId="0" applyNumberFormat="1" applyFont="1" applyFill="1" applyBorder="1" applyAlignment="1">
      <alignment horizontal="center" wrapText="1"/>
    </xf>
    <xf numFmtId="0" fontId="122" fillId="2" borderId="35" xfId="0" applyFont="1" applyFill="1" applyBorder="1" applyAlignment="1">
      <alignment horizontal="center" wrapText="1"/>
    </xf>
    <xf numFmtId="0" fontId="123" fillId="34" borderId="11" xfId="0" applyFont="1" applyFill="1" applyBorder="1" applyAlignment="1">
      <alignment vertical="center"/>
    </xf>
    <xf numFmtId="188" fontId="119" fillId="34" borderId="11" xfId="0" applyNumberFormat="1" applyFont="1" applyFill="1" applyBorder="1" applyAlignment="1">
      <alignment horizontal="center"/>
    </xf>
    <xf numFmtId="1" fontId="119" fillId="34" borderId="11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vertical="center"/>
    </xf>
    <xf numFmtId="0" fontId="119" fillId="34" borderId="0" xfId="0" applyFont="1" applyFill="1" applyAlignment="1">
      <alignment/>
    </xf>
    <xf numFmtId="1" fontId="119" fillId="34" borderId="0" xfId="0" applyNumberFormat="1" applyFont="1" applyFill="1" applyAlignment="1">
      <alignment/>
    </xf>
    <xf numFmtId="1" fontId="119" fillId="34" borderId="0" xfId="0" applyNumberFormat="1" applyFont="1" applyFill="1" applyAlignment="1">
      <alignment horizontal="center"/>
    </xf>
    <xf numFmtId="49" fontId="119" fillId="34" borderId="0" xfId="0" applyNumberFormat="1" applyFont="1" applyFill="1" applyAlignment="1">
      <alignment/>
    </xf>
    <xf numFmtId="2" fontId="119" fillId="34" borderId="0" xfId="0" applyNumberFormat="1" applyFont="1" applyFill="1" applyAlignment="1">
      <alignment/>
    </xf>
    <xf numFmtId="0" fontId="119" fillId="34" borderId="0" xfId="0" applyFont="1" applyFill="1" applyAlignment="1">
      <alignment horizontal="center"/>
    </xf>
    <xf numFmtId="49" fontId="119" fillId="34" borderId="0" xfId="0" applyNumberFormat="1" applyFont="1" applyFill="1" applyAlignment="1">
      <alignment horizontal="center"/>
    </xf>
    <xf numFmtId="2" fontId="119" fillId="34" borderId="0" xfId="0" applyNumberFormat="1" applyFont="1" applyFill="1" applyAlignment="1">
      <alignment horizontal="center"/>
    </xf>
    <xf numFmtId="0" fontId="119" fillId="34" borderId="0" xfId="0" applyFont="1" applyFill="1" applyBorder="1" applyAlignment="1">
      <alignment/>
    </xf>
    <xf numFmtId="1" fontId="119" fillId="34" borderId="0" xfId="0" applyNumberFormat="1" applyFont="1" applyFill="1" applyBorder="1" applyAlignment="1">
      <alignment/>
    </xf>
    <xf numFmtId="1" fontId="119" fillId="34" borderId="0" xfId="0" applyNumberFormat="1" applyFont="1" applyFill="1" applyBorder="1" applyAlignment="1">
      <alignment horizontal="center"/>
    </xf>
    <xf numFmtId="49" fontId="119" fillId="34" borderId="0" xfId="0" applyNumberFormat="1" applyFont="1" applyFill="1" applyBorder="1" applyAlignment="1">
      <alignment/>
    </xf>
    <xf numFmtId="2" fontId="119" fillId="34" borderId="0" xfId="0" applyNumberFormat="1" applyFont="1" applyFill="1" applyBorder="1" applyAlignment="1">
      <alignment/>
    </xf>
    <xf numFmtId="49" fontId="119" fillId="34" borderId="0" xfId="0" applyNumberFormat="1" applyFont="1" applyFill="1" applyBorder="1" applyAlignment="1">
      <alignment horizontal="center"/>
    </xf>
    <xf numFmtId="2" fontId="119" fillId="34" borderId="0" xfId="0" applyNumberFormat="1" applyFont="1" applyFill="1" applyBorder="1" applyAlignment="1">
      <alignment horizontal="center"/>
    </xf>
    <xf numFmtId="0" fontId="122" fillId="34" borderId="0" xfId="0" applyFont="1" applyFill="1" applyBorder="1" applyAlignment="1">
      <alignment/>
    </xf>
    <xf numFmtId="1" fontId="150" fillId="34" borderId="0" xfId="0" applyNumberFormat="1" applyFont="1" applyFill="1" applyBorder="1" applyAlignment="1">
      <alignment/>
    </xf>
    <xf numFmtId="0" fontId="119" fillId="34" borderId="0" xfId="0" applyFont="1" applyFill="1" applyAlignment="1">
      <alignment/>
    </xf>
    <xf numFmtId="49" fontId="119" fillId="34" borderId="0" xfId="0" applyNumberFormat="1" applyFont="1" applyFill="1" applyAlignment="1">
      <alignment/>
    </xf>
    <xf numFmtId="0" fontId="122" fillId="34" borderId="0" xfId="0" applyFont="1" applyFill="1" applyAlignment="1">
      <alignment/>
    </xf>
    <xf numFmtId="188" fontId="122" fillId="34" borderId="0" xfId="0" applyNumberFormat="1" applyFont="1" applyFill="1" applyAlignment="1">
      <alignment horizontal="center"/>
    </xf>
    <xf numFmtId="1" fontId="122" fillId="34" borderId="0" xfId="0" applyNumberFormat="1" applyFont="1" applyFill="1" applyAlignment="1">
      <alignment horizontal="center"/>
    </xf>
    <xf numFmtId="1" fontId="122" fillId="34" borderId="0" xfId="0" applyNumberFormat="1" applyFont="1" applyFill="1" applyAlignment="1">
      <alignment/>
    </xf>
    <xf numFmtId="49" fontId="122" fillId="34" borderId="0" xfId="0" applyNumberFormat="1" applyFont="1" applyFill="1" applyAlignment="1">
      <alignment/>
    </xf>
    <xf numFmtId="0" fontId="122" fillId="34" borderId="0" xfId="0" applyFont="1" applyFill="1" applyAlignment="1">
      <alignment horizontal="center"/>
    </xf>
    <xf numFmtId="49" fontId="122" fillId="34" borderId="0" xfId="0" applyNumberFormat="1" applyFont="1" applyFill="1" applyAlignment="1">
      <alignment horizontal="center"/>
    </xf>
    <xf numFmtId="0" fontId="14" fillId="32" borderId="11" xfId="0" applyFont="1" applyFill="1" applyBorder="1" applyAlignment="1">
      <alignment horizontal="center" wrapText="1"/>
    </xf>
    <xf numFmtId="0" fontId="13" fillId="32" borderId="11" xfId="0" applyFont="1" applyFill="1" applyBorder="1" applyAlignment="1">
      <alignment horizontal="center" wrapText="1"/>
    </xf>
    <xf numFmtId="1" fontId="13" fillId="32" borderId="11" xfId="0" applyNumberFormat="1" applyFont="1" applyFill="1" applyBorder="1" applyAlignment="1">
      <alignment horizontal="center"/>
    </xf>
    <xf numFmtId="0" fontId="132" fillId="34" borderId="0" xfId="0" applyFont="1" applyFill="1" applyAlignment="1">
      <alignment/>
    </xf>
    <xf numFmtId="1" fontId="132" fillId="34" borderId="0" xfId="0" applyNumberFormat="1" applyFont="1" applyFill="1" applyAlignment="1">
      <alignment horizontal="center"/>
    </xf>
    <xf numFmtId="1" fontId="34" fillId="34" borderId="0" xfId="0" applyNumberFormat="1" applyFont="1" applyFill="1" applyAlignment="1">
      <alignment/>
    </xf>
    <xf numFmtId="0" fontId="119" fillId="34" borderId="0" xfId="0" applyFont="1" applyFill="1" applyAlignment="1">
      <alignment horizontal="centerContinuous"/>
    </xf>
    <xf numFmtId="1" fontId="119" fillId="34" borderId="0" xfId="0" applyNumberFormat="1" applyFont="1" applyFill="1" applyAlignment="1">
      <alignment horizontal="centerContinuous"/>
    </xf>
    <xf numFmtId="0" fontId="119" fillId="34" borderId="0" xfId="0" applyFont="1" applyFill="1" applyBorder="1" applyAlignment="1">
      <alignment horizontal="center"/>
    </xf>
    <xf numFmtId="0" fontId="119" fillId="34" borderId="0" xfId="0" applyFont="1" applyFill="1" applyBorder="1" applyAlignment="1">
      <alignment horizontal="centerContinuous"/>
    </xf>
    <xf numFmtId="0" fontId="119" fillId="34" borderId="10" xfId="0" applyFont="1" applyFill="1" applyBorder="1" applyAlignment="1">
      <alignment horizontal="centerContinuous" wrapText="1"/>
    </xf>
    <xf numFmtId="1" fontId="131" fillId="34" borderId="10" xfId="0" applyNumberFormat="1" applyFont="1" applyFill="1" applyBorder="1" applyAlignment="1">
      <alignment horizontal="center" wrapText="1"/>
    </xf>
    <xf numFmtId="49" fontId="119" fillId="34" borderId="10" xfId="0" applyNumberFormat="1" applyFont="1" applyFill="1" applyBorder="1" applyAlignment="1">
      <alignment horizontal="centerContinuous" wrapText="1"/>
    </xf>
    <xf numFmtId="2" fontId="119" fillId="34" borderId="10" xfId="0" applyNumberFormat="1" applyFont="1" applyFill="1" applyBorder="1" applyAlignment="1">
      <alignment horizontal="centerContinuous" wrapText="1"/>
    </xf>
    <xf numFmtId="0" fontId="119" fillId="34" borderId="10" xfId="0" applyFont="1" applyFill="1" applyBorder="1" applyAlignment="1">
      <alignment horizontal="center" wrapText="1"/>
    </xf>
    <xf numFmtId="49" fontId="119" fillId="34" borderId="0" xfId="0" applyNumberFormat="1" applyFont="1" applyFill="1" applyBorder="1" applyAlignment="1">
      <alignment horizontal="center" wrapText="1"/>
    </xf>
    <xf numFmtId="2" fontId="119" fillId="34" borderId="0" xfId="0" applyNumberFormat="1" applyFont="1" applyFill="1" applyBorder="1" applyAlignment="1">
      <alignment horizontal="center" wrapText="1"/>
    </xf>
    <xf numFmtId="0" fontId="122" fillId="34" borderId="0" xfId="0" applyFont="1" applyFill="1" applyBorder="1" applyAlignment="1">
      <alignment wrapText="1"/>
    </xf>
    <xf numFmtId="0" fontId="119" fillId="34" borderId="0" xfId="0" applyFont="1" applyFill="1" applyBorder="1" applyAlignment="1">
      <alignment horizontal="center" wrapText="1"/>
    </xf>
    <xf numFmtId="0" fontId="131" fillId="34" borderId="0" xfId="0" applyFont="1" applyFill="1" applyBorder="1" applyAlignment="1">
      <alignment horizontal="center" wrapText="1"/>
    </xf>
    <xf numFmtId="0" fontId="131" fillId="34" borderId="0" xfId="0" applyFont="1" applyFill="1" applyBorder="1" applyAlignment="1">
      <alignment horizontal="left" wrapText="1"/>
    </xf>
    <xf numFmtId="49" fontId="119" fillId="34" borderId="0" xfId="0" applyNumberFormat="1" applyFont="1" applyFill="1" applyBorder="1" applyAlignment="1">
      <alignment horizontal="centerContinuous" wrapText="1"/>
    </xf>
    <xf numFmtId="0" fontId="119" fillId="34" borderId="0" xfId="0" applyFont="1" applyFill="1" applyBorder="1" applyAlignment="1">
      <alignment horizontal="centerContinuous" wrapText="1"/>
    </xf>
    <xf numFmtId="0" fontId="131" fillId="34" borderId="0" xfId="0" applyFont="1" applyFill="1" applyBorder="1" applyAlignment="1">
      <alignment horizontal="left" vertical="top" wrapText="1"/>
    </xf>
    <xf numFmtId="0" fontId="131" fillId="34" borderId="0" xfId="0" applyFont="1" applyFill="1" applyBorder="1" applyAlignment="1">
      <alignment horizontal="centerContinuous" wrapText="1"/>
    </xf>
    <xf numFmtId="49" fontId="119" fillId="34" borderId="0" xfId="0" applyNumberFormat="1" applyFont="1" applyFill="1" applyAlignment="1">
      <alignment horizontal="centerContinuous"/>
    </xf>
    <xf numFmtId="0" fontId="122" fillId="34" borderId="12" xfId="0" applyFont="1" applyFill="1" applyBorder="1" applyAlignment="1">
      <alignment horizontal="center"/>
    </xf>
    <xf numFmtId="0" fontId="122" fillId="34" borderId="13" xfId="0" applyFont="1" applyFill="1" applyBorder="1" applyAlignment="1">
      <alignment/>
    </xf>
    <xf numFmtId="0" fontId="122" fillId="34" borderId="14" xfId="0" applyFont="1" applyFill="1" applyBorder="1" applyAlignment="1">
      <alignment/>
    </xf>
    <xf numFmtId="1" fontId="122" fillId="34" borderId="14" xfId="0" applyNumberFormat="1" applyFont="1" applyFill="1" applyBorder="1" applyAlignment="1">
      <alignment horizontal="center"/>
    </xf>
    <xf numFmtId="49" fontId="122" fillId="34" borderId="14" xfId="0" applyNumberFormat="1" applyFont="1" applyFill="1" applyBorder="1" applyAlignment="1">
      <alignment/>
    </xf>
    <xf numFmtId="2" fontId="122" fillId="34" borderId="14" xfId="0" applyNumberFormat="1" applyFont="1" applyFill="1" applyBorder="1" applyAlignment="1">
      <alignment/>
    </xf>
    <xf numFmtId="0" fontId="122" fillId="34" borderId="14" xfId="0" applyFont="1" applyFill="1" applyBorder="1" applyAlignment="1">
      <alignment horizontal="center"/>
    </xf>
    <xf numFmtId="0" fontId="122" fillId="34" borderId="15" xfId="0" applyFont="1" applyFill="1" applyBorder="1" applyAlignment="1">
      <alignment horizontal="center"/>
    </xf>
    <xf numFmtId="0" fontId="122" fillId="34" borderId="14" xfId="0" applyFont="1" applyFill="1" applyBorder="1" applyAlignment="1">
      <alignment horizontal="center" wrapText="1"/>
    </xf>
    <xf numFmtId="49" fontId="122" fillId="34" borderId="14" xfId="0" applyNumberFormat="1" applyFont="1" applyFill="1" applyBorder="1" applyAlignment="1">
      <alignment horizontal="center"/>
    </xf>
    <xf numFmtId="2" fontId="122" fillId="34" borderId="14" xfId="0" applyNumberFormat="1" applyFont="1" applyFill="1" applyBorder="1" applyAlignment="1">
      <alignment horizontal="center" wrapText="1"/>
    </xf>
    <xf numFmtId="0" fontId="122" fillId="34" borderId="14" xfId="0" applyFont="1" applyFill="1" applyBorder="1" applyAlignment="1">
      <alignment wrapText="1"/>
    </xf>
    <xf numFmtId="0" fontId="122" fillId="34" borderId="15" xfId="0" applyFont="1" applyFill="1" applyBorder="1" applyAlignment="1">
      <alignment horizontal="center" wrapText="1"/>
    </xf>
    <xf numFmtId="0" fontId="119" fillId="34" borderId="35" xfId="0" applyFont="1" applyFill="1" applyBorder="1" applyAlignment="1">
      <alignment horizontal="center"/>
    </xf>
    <xf numFmtId="0" fontId="119" fillId="34" borderId="35" xfId="0" applyFont="1" applyFill="1" applyBorder="1" applyAlignment="1">
      <alignment horizontal="center" wrapText="1"/>
    </xf>
    <xf numFmtId="1" fontId="119" fillId="34" borderId="35" xfId="0" applyNumberFormat="1" applyFont="1" applyFill="1" applyBorder="1" applyAlignment="1">
      <alignment horizontal="center" wrapText="1"/>
    </xf>
    <xf numFmtId="0" fontId="122" fillId="34" borderId="35" xfId="0" applyFont="1" applyFill="1" applyBorder="1" applyAlignment="1">
      <alignment horizontal="center" wrapText="1"/>
    </xf>
    <xf numFmtId="0" fontId="119" fillId="34" borderId="11" xfId="0" applyFont="1" applyFill="1" applyBorder="1" applyAlignment="1">
      <alignment horizontal="center"/>
    </xf>
    <xf numFmtId="49" fontId="119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 horizontal="center"/>
    </xf>
    <xf numFmtId="0" fontId="122" fillId="34" borderId="11" xfId="0" applyFont="1" applyFill="1" applyBorder="1" applyAlignment="1">
      <alignment wrapText="1"/>
    </xf>
    <xf numFmtId="1" fontId="122" fillId="34" borderId="11" xfId="0" applyNumberFormat="1" applyFont="1" applyFill="1" applyBorder="1" applyAlignment="1">
      <alignment horizontal="center" wrapText="1"/>
    </xf>
    <xf numFmtId="2" fontId="119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 horizontal="center" wrapText="1"/>
    </xf>
    <xf numFmtId="0" fontId="119" fillId="34" borderId="11" xfId="0" applyFont="1" applyFill="1" applyBorder="1" applyAlignment="1">
      <alignment/>
    </xf>
    <xf numFmtId="1" fontId="119" fillId="34" borderId="11" xfId="0" applyNumberFormat="1" applyFont="1" applyFill="1" applyBorder="1" applyAlignment="1">
      <alignment/>
    </xf>
    <xf numFmtId="188" fontId="119" fillId="34" borderId="11" xfId="0" applyNumberFormat="1" applyFont="1" applyFill="1" applyBorder="1" applyAlignment="1">
      <alignment horizontal="center" wrapText="1"/>
    </xf>
    <xf numFmtId="1" fontId="119" fillId="34" borderId="11" xfId="0" applyNumberFormat="1" applyFont="1" applyFill="1" applyBorder="1" applyAlignment="1">
      <alignment horizontal="center" vertical="center"/>
    </xf>
    <xf numFmtId="0" fontId="129" fillId="34" borderId="11" xfId="0" applyFont="1" applyFill="1" applyBorder="1" applyAlignment="1">
      <alignment horizontal="center"/>
    </xf>
    <xf numFmtId="0" fontId="129" fillId="34" borderId="11" xfId="0" applyFont="1" applyFill="1" applyBorder="1" applyAlignment="1">
      <alignment/>
    </xf>
    <xf numFmtId="1" fontId="129" fillId="34" borderId="11" xfId="0" applyNumberFormat="1" applyFont="1" applyFill="1" applyBorder="1" applyAlignment="1">
      <alignment horizontal="center"/>
    </xf>
    <xf numFmtId="188" fontId="129" fillId="34" borderId="11" xfId="0" applyNumberFormat="1" applyFont="1" applyFill="1" applyBorder="1" applyAlignment="1">
      <alignment horizontal="center"/>
    </xf>
    <xf numFmtId="49" fontId="129" fillId="34" borderId="11" xfId="0" applyNumberFormat="1" applyFont="1" applyFill="1" applyBorder="1" applyAlignment="1">
      <alignment horizontal="center"/>
    </xf>
    <xf numFmtId="2" fontId="129" fillId="34" borderId="11" xfId="0" applyNumberFormat="1" applyFont="1" applyFill="1" applyBorder="1" applyAlignment="1">
      <alignment horizontal="center"/>
    </xf>
    <xf numFmtId="0" fontId="129" fillId="34" borderId="0" xfId="0" applyFont="1" applyFill="1" applyAlignment="1">
      <alignment/>
    </xf>
    <xf numFmtId="1" fontId="129" fillId="34" borderId="11" xfId="0" applyNumberFormat="1" applyFont="1" applyFill="1" applyBorder="1" applyAlignment="1">
      <alignment/>
    </xf>
    <xf numFmtId="1" fontId="122" fillId="34" borderId="11" xfId="0" applyNumberFormat="1" applyFont="1" applyFill="1" applyBorder="1" applyAlignment="1">
      <alignment wrapText="1"/>
    </xf>
    <xf numFmtId="0" fontId="119" fillId="34" borderId="11" xfId="0" applyFont="1" applyFill="1" applyBorder="1" applyAlignment="1">
      <alignment horizontal="center" wrapText="1"/>
    </xf>
    <xf numFmtId="0" fontId="123" fillId="34" borderId="11" xfId="0" applyFont="1" applyFill="1" applyBorder="1" applyAlignment="1">
      <alignment vertical="center" wrapText="1"/>
    </xf>
    <xf numFmtId="188" fontId="123" fillId="34" borderId="11" xfId="0" applyNumberFormat="1" applyFont="1" applyFill="1" applyBorder="1" applyAlignment="1">
      <alignment horizontal="center"/>
    </xf>
    <xf numFmtId="0" fontId="122" fillId="34" borderId="11" xfId="0" applyFont="1" applyFill="1" applyBorder="1" applyAlignment="1">
      <alignment/>
    </xf>
    <xf numFmtId="1" fontId="122" fillId="34" borderId="11" xfId="0" applyNumberFormat="1" applyFont="1" applyFill="1" applyBorder="1" applyAlignment="1">
      <alignment horizontal="center"/>
    </xf>
    <xf numFmtId="188" fontId="122" fillId="34" borderId="11" xfId="0" applyNumberFormat="1" applyFont="1" applyFill="1" applyBorder="1" applyAlignment="1">
      <alignment horizontal="center"/>
    </xf>
    <xf numFmtId="49" fontId="122" fillId="34" borderId="11" xfId="0" applyNumberFormat="1" applyFont="1" applyFill="1" applyBorder="1" applyAlignment="1">
      <alignment horizontal="center"/>
    </xf>
    <xf numFmtId="2" fontId="122" fillId="34" borderId="11" xfId="0" applyNumberFormat="1" applyFont="1" applyFill="1" applyBorder="1" applyAlignment="1">
      <alignment horizontal="center"/>
    </xf>
    <xf numFmtId="0" fontId="123" fillId="34" borderId="11" xfId="0" applyFont="1" applyFill="1" applyBorder="1" applyAlignment="1">
      <alignment horizontal="center" vertical="center"/>
    </xf>
    <xf numFmtId="1" fontId="123" fillId="34" borderId="11" xfId="0" applyNumberFormat="1" applyFont="1" applyFill="1" applyBorder="1" applyAlignment="1">
      <alignment horizontal="center" vertical="center"/>
    </xf>
    <xf numFmtId="188" fontId="123" fillId="34" borderId="11" xfId="0" applyNumberFormat="1" applyFont="1" applyFill="1" applyBorder="1" applyAlignment="1">
      <alignment horizontal="center" vertical="center"/>
    </xf>
    <xf numFmtId="49" fontId="123" fillId="34" borderId="11" xfId="0" applyNumberFormat="1" applyFont="1" applyFill="1" applyBorder="1" applyAlignment="1">
      <alignment horizontal="center" vertical="center"/>
    </xf>
    <xf numFmtId="2" fontId="123" fillId="34" borderId="11" xfId="0" applyNumberFormat="1" applyFont="1" applyFill="1" applyBorder="1" applyAlignment="1">
      <alignment horizontal="center" vertical="center"/>
    </xf>
    <xf numFmtId="1" fontId="123" fillId="34" borderId="11" xfId="0" applyNumberFormat="1" applyFont="1" applyFill="1" applyBorder="1" applyAlignment="1">
      <alignment vertical="center"/>
    </xf>
    <xf numFmtId="49" fontId="123" fillId="34" borderId="11" xfId="0" applyNumberFormat="1" applyFont="1" applyFill="1" applyBorder="1" applyAlignment="1">
      <alignment vertical="center"/>
    </xf>
    <xf numFmtId="0" fontId="123" fillId="34" borderId="0" xfId="0" applyFont="1" applyFill="1" applyAlignment="1">
      <alignment/>
    </xf>
    <xf numFmtId="0" fontId="132" fillId="34" borderId="11" xfId="0" applyFont="1" applyFill="1" applyBorder="1" applyAlignment="1">
      <alignment horizontal="center" vertical="center"/>
    </xf>
    <xf numFmtId="0" fontId="123" fillId="34" borderId="11" xfId="0" applyFont="1" applyFill="1" applyBorder="1" applyAlignment="1">
      <alignment vertical="top" wrapText="1"/>
    </xf>
    <xf numFmtId="0" fontId="151" fillId="34" borderId="11" xfId="0" applyFont="1" applyFill="1" applyBorder="1" applyAlignment="1">
      <alignment vertical="center"/>
    </xf>
    <xf numFmtId="0" fontId="152" fillId="34" borderId="11" xfId="0" applyFont="1" applyFill="1" applyBorder="1" applyAlignment="1">
      <alignment horizontal="center"/>
    </xf>
    <xf numFmtId="1" fontId="152" fillId="34" borderId="11" xfId="0" applyNumberFormat="1" applyFont="1" applyFill="1" applyBorder="1" applyAlignment="1">
      <alignment horizontal="center"/>
    </xf>
    <xf numFmtId="188" fontId="152" fillId="34" borderId="11" xfId="0" applyNumberFormat="1" applyFont="1" applyFill="1" applyBorder="1" applyAlignment="1">
      <alignment horizontal="center"/>
    </xf>
    <xf numFmtId="49" fontId="12" fillId="34" borderId="11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49" fontId="152" fillId="34" borderId="11" xfId="0" applyNumberFormat="1" applyFont="1" applyFill="1" applyBorder="1" applyAlignment="1">
      <alignment horizontal="center"/>
    </xf>
    <xf numFmtId="2" fontId="152" fillId="34" borderId="11" xfId="0" applyNumberFormat="1" applyFont="1" applyFill="1" applyBorder="1" applyAlignment="1">
      <alignment horizontal="center"/>
    </xf>
    <xf numFmtId="0" fontId="152" fillId="34" borderId="11" xfId="0" applyFont="1" applyFill="1" applyBorder="1" applyAlignment="1">
      <alignment/>
    </xf>
    <xf numFmtId="0" fontId="152" fillId="34" borderId="0" xfId="0" applyFont="1" applyFill="1" applyAlignment="1">
      <alignment/>
    </xf>
    <xf numFmtId="1" fontId="10" fillId="34" borderId="11" xfId="0" applyNumberFormat="1" applyFont="1" applyFill="1" applyBorder="1" applyAlignment="1">
      <alignment horizontal="center" vertical="center"/>
    </xf>
    <xf numFmtId="49" fontId="122" fillId="34" borderId="13" xfId="0" applyNumberFormat="1" applyFont="1" applyFill="1" applyBorder="1" applyAlignment="1">
      <alignment horizontal="center"/>
    </xf>
    <xf numFmtId="1" fontId="122" fillId="34" borderId="0" xfId="0" applyNumberFormat="1" applyFont="1" applyFill="1" applyBorder="1" applyAlignment="1">
      <alignment horizontal="center"/>
    </xf>
    <xf numFmtId="188" fontId="132" fillId="34" borderId="11" xfId="0" applyNumberFormat="1" applyFont="1" applyFill="1" applyBorder="1" applyAlignment="1">
      <alignment horizontal="center" vertical="center"/>
    </xf>
    <xf numFmtId="1" fontId="132" fillId="34" borderId="11" xfId="0" applyNumberFormat="1" applyFont="1" applyFill="1" applyBorder="1" applyAlignment="1">
      <alignment horizontal="center" vertical="center"/>
    </xf>
    <xf numFmtId="49" fontId="123" fillId="34" borderId="13" xfId="0" applyNumberFormat="1" applyFont="1" applyFill="1" applyBorder="1" applyAlignment="1">
      <alignment horizontal="center" vertical="center"/>
    </xf>
    <xf numFmtId="2" fontId="123" fillId="34" borderId="14" xfId="0" applyNumberFormat="1" applyFont="1" applyFill="1" applyBorder="1" applyAlignment="1">
      <alignment horizontal="center" vertical="center"/>
    </xf>
    <xf numFmtId="0" fontId="123" fillId="34" borderId="14" xfId="0" applyFont="1" applyFill="1" applyBorder="1" applyAlignment="1">
      <alignment horizontal="center" vertical="center"/>
    </xf>
    <xf numFmtId="0" fontId="123" fillId="34" borderId="15" xfId="0" applyFont="1" applyFill="1" applyBorder="1" applyAlignment="1">
      <alignment horizontal="center" vertical="center"/>
    </xf>
    <xf numFmtId="49" fontId="132" fillId="34" borderId="11" xfId="0" applyNumberFormat="1" applyFont="1" applyFill="1" applyBorder="1" applyAlignment="1">
      <alignment horizontal="center" vertical="center"/>
    </xf>
    <xf numFmtId="2" fontId="132" fillId="34" borderId="11" xfId="0" applyNumberFormat="1" applyFont="1" applyFill="1" applyBorder="1" applyAlignment="1">
      <alignment horizontal="center" vertical="center"/>
    </xf>
    <xf numFmtId="1" fontId="132" fillId="34" borderId="11" xfId="0" applyNumberFormat="1" applyFont="1" applyFill="1" applyBorder="1" applyAlignment="1">
      <alignment vertical="center"/>
    </xf>
    <xf numFmtId="49" fontId="132" fillId="34" borderId="11" xfId="0" applyNumberFormat="1" applyFont="1" applyFill="1" applyBorder="1" applyAlignment="1">
      <alignment vertical="center"/>
    </xf>
    <xf numFmtId="1" fontId="151" fillId="34" borderId="11" xfId="0" applyNumberFormat="1" applyFont="1" applyFill="1" applyBorder="1" applyAlignment="1">
      <alignment horizontal="center" vertical="center"/>
    </xf>
    <xf numFmtId="0" fontId="132" fillId="34" borderId="11" xfId="0" applyFont="1" applyFill="1" applyBorder="1" applyAlignment="1">
      <alignment vertical="top" wrapText="1"/>
    </xf>
    <xf numFmtId="0" fontId="151" fillId="34" borderId="11" xfId="0" applyFont="1" applyFill="1" applyBorder="1" applyAlignment="1">
      <alignment horizontal="center" vertical="center"/>
    </xf>
    <xf numFmtId="188" fontId="152" fillId="34" borderId="11" xfId="0" applyNumberFormat="1" applyFont="1" applyFill="1" applyBorder="1" applyAlignment="1">
      <alignment horizontal="center" wrapText="1"/>
    </xf>
    <xf numFmtId="49" fontId="128" fillId="34" borderId="11" xfId="0" applyNumberFormat="1" applyFont="1" applyFill="1" applyBorder="1" applyAlignment="1">
      <alignment horizontal="center"/>
    </xf>
    <xf numFmtId="2" fontId="128" fillId="34" borderId="11" xfId="0" applyNumberFormat="1" applyFont="1" applyFill="1" applyBorder="1" applyAlignment="1">
      <alignment horizontal="center"/>
    </xf>
    <xf numFmtId="0" fontId="128" fillId="34" borderId="11" xfId="0" applyFont="1" applyFill="1" applyBorder="1" applyAlignment="1">
      <alignment/>
    </xf>
    <xf numFmtId="1" fontId="128" fillId="34" borderId="11" xfId="0" applyNumberFormat="1" applyFont="1" applyFill="1" applyBorder="1" applyAlignment="1">
      <alignment horizontal="center"/>
    </xf>
    <xf numFmtId="0" fontId="128" fillId="34" borderId="11" xfId="0" applyFont="1" applyFill="1" applyBorder="1" applyAlignment="1">
      <alignment horizontal="center"/>
    </xf>
    <xf numFmtId="188" fontId="128" fillId="34" borderId="11" xfId="0" applyNumberFormat="1" applyFont="1" applyFill="1" applyBorder="1" applyAlignment="1">
      <alignment horizontal="center"/>
    </xf>
    <xf numFmtId="2" fontId="122" fillId="34" borderId="14" xfId="0" applyNumberFormat="1" applyFont="1" applyFill="1" applyBorder="1" applyAlignment="1">
      <alignment horizontal="center"/>
    </xf>
    <xf numFmtId="1" fontId="122" fillId="34" borderId="15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49" fontId="119" fillId="34" borderId="13" xfId="0" applyNumberFormat="1" applyFont="1" applyFill="1" applyBorder="1" applyAlignment="1">
      <alignment/>
    </xf>
    <xf numFmtId="1" fontId="119" fillId="34" borderId="14" xfId="0" applyNumberFormat="1" applyFont="1" applyFill="1" applyBorder="1" applyAlignment="1">
      <alignment/>
    </xf>
    <xf numFmtId="1" fontId="119" fillId="34" borderId="15" xfId="0" applyNumberFormat="1" applyFont="1" applyFill="1" applyBorder="1" applyAlignment="1">
      <alignment/>
    </xf>
    <xf numFmtId="49" fontId="119" fillId="34" borderId="13" xfId="0" applyNumberFormat="1" applyFont="1" applyFill="1" applyBorder="1" applyAlignment="1">
      <alignment vertical="center"/>
    </xf>
    <xf numFmtId="0" fontId="119" fillId="34" borderId="14" xfId="0" applyFont="1" applyFill="1" applyBorder="1" applyAlignment="1">
      <alignment vertical="center"/>
    </xf>
    <xf numFmtId="0" fontId="119" fillId="34" borderId="15" xfId="0" applyFont="1" applyFill="1" applyBorder="1" applyAlignment="1">
      <alignment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center"/>
    </xf>
    <xf numFmtId="0" fontId="129" fillId="34" borderId="11" xfId="0" applyFont="1" applyFill="1" applyBorder="1" applyAlignment="1">
      <alignment wrapText="1"/>
    </xf>
    <xf numFmtId="188" fontId="120" fillId="34" borderId="11" xfId="0" applyNumberFormat="1" applyFont="1" applyFill="1" applyBorder="1" applyAlignment="1">
      <alignment horizontal="center"/>
    </xf>
    <xf numFmtId="0" fontId="132" fillId="34" borderId="11" xfId="0" applyFont="1" applyFill="1" applyBorder="1" applyAlignment="1">
      <alignment horizontal="left" vertical="center"/>
    </xf>
    <xf numFmtId="0" fontId="132" fillId="34" borderId="11" xfId="0" applyFont="1" applyFill="1" applyBorder="1" applyAlignment="1">
      <alignment horizontal="center" vertical="center" wrapText="1"/>
    </xf>
    <xf numFmtId="0" fontId="123" fillId="34" borderId="11" xfId="0" applyFont="1" applyFill="1" applyBorder="1" applyAlignment="1">
      <alignment horizontal="left" vertical="center"/>
    </xf>
    <xf numFmtId="0" fontId="153" fillId="34" borderId="11" xfId="0" applyFont="1" applyFill="1" applyBorder="1" applyAlignment="1">
      <alignment horizontal="center" vertical="center"/>
    </xf>
    <xf numFmtId="0" fontId="120" fillId="34" borderId="11" xfId="0" applyFont="1" applyFill="1" applyBorder="1" applyAlignment="1">
      <alignment horizontal="center"/>
    </xf>
    <xf numFmtId="1" fontId="120" fillId="34" borderId="11" xfId="0" applyNumberFormat="1" applyFont="1" applyFill="1" applyBorder="1" applyAlignment="1">
      <alignment horizontal="center"/>
    </xf>
    <xf numFmtId="0" fontId="120" fillId="34" borderId="0" xfId="0" applyFont="1" applyFill="1" applyAlignment="1">
      <alignment/>
    </xf>
    <xf numFmtId="0" fontId="122" fillId="34" borderId="11" xfId="0" applyNumberFormat="1" applyFont="1" applyFill="1" applyBorder="1" applyAlignment="1">
      <alignment horizontal="center"/>
    </xf>
    <xf numFmtId="0" fontId="119" fillId="34" borderId="0" xfId="0" applyFont="1" applyFill="1" applyAlignment="1">
      <alignment horizontal="center" wrapText="1"/>
    </xf>
    <xf numFmtId="0" fontId="34" fillId="34" borderId="0" xfId="0" applyFont="1" applyFill="1" applyAlignment="1">
      <alignment/>
    </xf>
    <xf numFmtId="0" fontId="42" fillId="34" borderId="0" xfId="0" applyFont="1" applyFill="1" applyAlignment="1">
      <alignment/>
    </xf>
    <xf numFmtId="1" fontId="42" fillId="34" borderId="0" xfId="0" applyNumberFormat="1" applyFont="1" applyFill="1" applyAlignment="1">
      <alignment/>
    </xf>
    <xf numFmtId="0" fontId="10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 horizontal="centerContinuous" wrapText="1"/>
    </xf>
    <xf numFmtId="0" fontId="13" fillId="34" borderId="0" xfId="0" applyFont="1" applyFill="1" applyBorder="1" applyAlignment="1">
      <alignment horizontal="centerContinuous" wrapText="1"/>
    </xf>
    <xf numFmtId="0" fontId="10" fillId="34" borderId="0" xfId="0" applyFont="1" applyFill="1" applyBorder="1" applyAlignment="1">
      <alignment horizontal="centerContinuous" wrapText="1"/>
    </xf>
    <xf numFmtId="0" fontId="25" fillId="34" borderId="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 horizontal="centerContinuous"/>
    </xf>
    <xf numFmtId="0" fontId="14" fillId="34" borderId="0" xfId="0" applyFont="1" applyFill="1" applyBorder="1" applyAlignment="1">
      <alignment horizontal="center" wrapText="1"/>
    </xf>
    <xf numFmtId="0" fontId="52" fillId="34" borderId="0" xfId="0" applyFont="1" applyFill="1" applyBorder="1" applyAlignment="1">
      <alignment horizontal="centerContinuous" wrapText="1"/>
    </xf>
    <xf numFmtId="0" fontId="53" fillId="34" borderId="0" xfId="0" applyFont="1" applyFill="1" applyBorder="1" applyAlignment="1">
      <alignment horizontal="centerContinuous" wrapText="1"/>
    </xf>
    <xf numFmtId="0" fontId="14" fillId="34" borderId="0" xfId="0" applyFont="1" applyFill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34" borderId="16" xfId="0" applyFont="1" applyFill="1" applyBorder="1" applyAlignment="1">
      <alignment horizontal="centerContinuous" wrapText="1"/>
    </xf>
    <xf numFmtId="0" fontId="13" fillId="34" borderId="13" xfId="0" applyFont="1" applyFill="1" applyBorder="1" applyAlignment="1">
      <alignment horizontal="centerContinuous"/>
    </xf>
    <xf numFmtId="0" fontId="13" fillId="34" borderId="14" xfId="0" applyFont="1" applyFill="1" applyBorder="1" applyAlignment="1">
      <alignment horizontal="centerContinuous"/>
    </xf>
    <xf numFmtId="0" fontId="13" fillId="34" borderId="15" xfId="0" applyFont="1" applyFill="1" applyBorder="1" applyAlignment="1">
      <alignment horizontal="centerContinuous"/>
    </xf>
    <xf numFmtId="0" fontId="13" fillId="34" borderId="35" xfId="0" applyFont="1" applyFill="1" applyBorder="1" applyAlignment="1">
      <alignment horizontal="center"/>
    </xf>
    <xf numFmtId="0" fontId="10" fillId="34" borderId="35" xfId="0" applyFont="1" applyFill="1" applyBorder="1" applyAlignment="1">
      <alignment/>
    </xf>
    <xf numFmtId="0" fontId="14" fillId="34" borderId="35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3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wrapText="1"/>
    </xf>
    <xf numFmtId="1" fontId="10" fillId="34" borderId="11" xfId="0" applyNumberFormat="1" applyFont="1" applyFill="1" applyBorder="1" applyAlignment="1">
      <alignment horizontal="center"/>
    </xf>
    <xf numFmtId="1" fontId="34" fillId="34" borderId="11" xfId="0" applyNumberFormat="1" applyFont="1" applyFill="1" applyBorder="1" applyAlignment="1">
      <alignment horizontal="center"/>
    </xf>
    <xf numFmtId="0" fontId="34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wrapText="1"/>
    </xf>
    <xf numFmtId="0" fontId="13" fillId="34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1" fontId="42" fillId="34" borderId="0" xfId="42" applyNumberFormat="1" applyFont="1" applyFill="1" applyAlignment="1">
      <alignment/>
    </xf>
    <xf numFmtId="1" fontId="36" fillId="34" borderId="0" xfId="0" applyNumberFormat="1" applyFont="1" applyFill="1" applyAlignment="1">
      <alignment/>
    </xf>
    <xf numFmtId="1" fontId="43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22" fillId="34" borderId="0" xfId="0" applyFont="1" applyFill="1" applyAlignment="1">
      <alignment/>
    </xf>
    <xf numFmtId="0" fontId="30" fillId="34" borderId="0" xfId="0" applyFont="1" applyFill="1" applyAlignment="1">
      <alignment/>
    </xf>
    <xf numFmtId="227" fontId="54" fillId="34" borderId="0" xfId="0" applyNumberFormat="1" applyFont="1" applyFill="1" applyAlignment="1">
      <alignment/>
    </xf>
    <xf numFmtId="0" fontId="42" fillId="34" borderId="0" xfId="0" applyFont="1" applyFill="1" applyAlignment="1">
      <alignment horizontal="center"/>
    </xf>
    <xf numFmtId="1" fontId="34" fillId="34" borderId="0" xfId="0" applyNumberFormat="1" applyFont="1" applyFill="1" applyAlignment="1">
      <alignment horizontal="center"/>
    </xf>
    <xf numFmtId="0" fontId="34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1" fontId="46" fillId="34" borderId="0" xfId="0" applyNumberFormat="1" applyFont="1" applyFill="1" applyAlignment="1">
      <alignment/>
    </xf>
    <xf numFmtId="1" fontId="13" fillId="2" borderId="11" xfId="0" applyNumberFormat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wrapText="1"/>
    </xf>
    <xf numFmtId="1" fontId="10" fillId="32" borderId="11" xfId="0" applyNumberFormat="1" applyFont="1" applyFill="1" applyBorder="1" applyAlignment="1">
      <alignment horizontal="center"/>
    </xf>
    <xf numFmtId="188" fontId="119" fillId="0" borderId="11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Continuous" wrapText="1"/>
    </xf>
    <xf numFmtId="0" fontId="22" fillId="33" borderId="0" xfId="0" applyFont="1" applyFill="1" applyAlignment="1">
      <alignment horizontal="center"/>
    </xf>
    <xf numFmtId="0" fontId="12" fillId="0" borderId="11" xfId="0" applyFont="1" applyBorder="1" applyAlignment="1">
      <alignment horizontal="centerContinuous" wrapText="1"/>
    </xf>
    <xf numFmtId="0" fontId="32" fillId="33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188" fontId="12" fillId="0" borderId="11" xfId="0" applyNumberFormat="1" applyFont="1" applyBorder="1" applyAlignment="1">
      <alignment horizontal="center"/>
    </xf>
    <xf numFmtId="2" fontId="128" fillId="0" borderId="11" xfId="0" applyNumberFormat="1" applyFont="1" applyBorder="1" applyAlignment="1">
      <alignment horizontal="center"/>
    </xf>
    <xf numFmtId="188" fontId="12" fillId="0" borderId="11" xfId="0" applyNumberFormat="1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wrapText="1"/>
    </xf>
    <xf numFmtId="188" fontId="22" fillId="0" borderId="11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Continuous" wrapText="1"/>
    </xf>
    <xf numFmtId="0" fontId="12" fillId="0" borderId="0" xfId="0" applyFont="1" applyAlignment="1">
      <alignment horizontal="centerContinuous" wrapText="1"/>
    </xf>
    <xf numFmtId="0" fontId="125" fillId="0" borderId="0" xfId="0" applyFont="1" applyAlignment="1">
      <alignment/>
    </xf>
    <xf numFmtId="0" fontId="12" fillId="33" borderId="0" xfId="0" applyFont="1" applyFill="1" applyAlignment="1">
      <alignment horizontal="centerContinuous"/>
    </xf>
    <xf numFmtId="0" fontId="133" fillId="33" borderId="0" xfId="0" applyFont="1" applyFill="1" applyBorder="1" applyAlignment="1">
      <alignment wrapText="1"/>
    </xf>
    <xf numFmtId="0" fontId="154" fillId="33" borderId="0" xfId="0" applyFont="1" applyFill="1" applyBorder="1" applyAlignment="1">
      <alignment wrapText="1"/>
    </xf>
    <xf numFmtId="0" fontId="154" fillId="33" borderId="0" xfId="0" applyFont="1" applyFill="1" applyBorder="1" applyAlignment="1">
      <alignment horizontal="centerContinuous" wrapText="1"/>
    </xf>
    <xf numFmtId="0" fontId="154" fillId="33" borderId="0" xfId="0" applyFont="1" applyFill="1" applyBorder="1" applyAlignment="1">
      <alignment horizontal="center" wrapText="1"/>
    </xf>
    <xf numFmtId="0" fontId="133" fillId="33" borderId="0" xfId="0" applyFont="1" applyFill="1" applyAlignment="1">
      <alignment horizontal="center"/>
    </xf>
    <xf numFmtId="0" fontId="133" fillId="33" borderId="0" xfId="0" applyFont="1" applyFill="1" applyAlignment="1">
      <alignment/>
    </xf>
    <xf numFmtId="0" fontId="154" fillId="34" borderId="0" xfId="0" applyFont="1" applyFill="1" applyBorder="1" applyAlignment="1">
      <alignment wrapText="1"/>
    </xf>
    <xf numFmtId="0" fontId="155" fillId="33" borderId="10" xfId="0" applyFont="1" applyFill="1" applyBorder="1" applyAlignment="1">
      <alignment horizontal="left" wrapText="1"/>
    </xf>
    <xf numFmtId="0" fontId="133" fillId="33" borderId="10" xfId="0" applyFont="1" applyFill="1" applyBorder="1" applyAlignment="1">
      <alignment horizontal="center" wrapText="1"/>
    </xf>
    <xf numFmtId="0" fontId="154" fillId="33" borderId="10" xfId="0" applyFont="1" applyFill="1" applyBorder="1" applyAlignment="1">
      <alignment horizontal="center" wrapText="1"/>
    </xf>
    <xf numFmtId="0" fontId="154" fillId="34" borderId="10" xfId="0" applyFont="1" applyFill="1" applyBorder="1" applyAlignment="1">
      <alignment horizontal="center" wrapText="1"/>
    </xf>
    <xf numFmtId="0" fontId="154" fillId="33" borderId="0" xfId="0" applyFont="1" applyFill="1" applyAlignment="1">
      <alignment horizontal="centerContinuous"/>
    </xf>
    <xf numFmtId="0" fontId="133" fillId="33" borderId="0" xfId="0" applyFont="1" applyFill="1" applyAlignment="1">
      <alignment horizontal="centerContinuous"/>
    </xf>
    <xf numFmtId="0" fontId="133" fillId="33" borderId="39" xfId="0" applyFont="1" applyFill="1" applyBorder="1" applyAlignment="1">
      <alignment/>
    </xf>
    <xf numFmtId="0" fontId="133" fillId="0" borderId="13" xfId="0" applyFont="1" applyBorder="1" applyAlignment="1">
      <alignment horizontal="centerContinuous"/>
    </xf>
    <xf numFmtId="0" fontId="133" fillId="0" borderId="14" xfId="0" applyFont="1" applyBorder="1" applyAlignment="1">
      <alignment horizontal="centerContinuous"/>
    </xf>
    <xf numFmtId="0" fontId="133" fillId="0" borderId="15" xfId="0" applyFont="1" applyBorder="1" applyAlignment="1">
      <alignment horizontal="centerContinuous"/>
    </xf>
    <xf numFmtId="0" fontId="133" fillId="0" borderId="13" xfId="0" applyFont="1" applyBorder="1" applyAlignment="1">
      <alignment horizontal="centerContinuous" wrapText="1"/>
    </xf>
    <xf numFmtId="0" fontId="133" fillId="0" borderId="14" xfId="0" applyFont="1" applyBorder="1" applyAlignment="1">
      <alignment horizontal="centerContinuous" wrapText="1"/>
    </xf>
    <xf numFmtId="0" fontId="133" fillId="0" borderId="15" xfId="0" applyFont="1" applyBorder="1" applyAlignment="1">
      <alignment horizontal="centerContinuous" wrapText="1"/>
    </xf>
    <xf numFmtId="0" fontId="133" fillId="0" borderId="11" xfId="0" applyFont="1" applyBorder="1" applyAlignment="1">
      <alignment horizontal="centerContinuous" wrapText="1"/>
    </xf>
    <xf numFmtId="0" fontId="133" fillId="0" borderId="0" xfId="0" applyFont="1" applyAlignment="1">
      <alignment/>
    </xf>
    <xf numFmtId="0" fontId="133" fillId="0" borderId="11" xfId="0" applyFont="1" applyBorder="1" applyAlignment="1">
      <alignment horizontal="center" wrapText="1"/>
    </xf>
    <xf numFmtId="0" fontId="133" fillId="0" borderId="35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 wrapText="1"/>
    </xf>
    <xf numFmtId="0" fontId="133" fillId="0" borderId="11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/>
    </xf>
    <xf numFmtId="0" fontId="154" fillId="33" borderId="11" xfId="0" applyFont="1" applyFill="1" applyBorder="1" applyAlignment="1">
      <alignment/>
    </xf>
    <xf numFmtId="0" fontId="156" fillId="33" borderId="11" xfId="0" applyFont="1" applyFill="1" applyBorder="1" applyAlignment="1">
      <alignment vertical="center"/>
    </xf>
    <xf numFmtId="188" fontId="154" fillId="0" borderId="11" xfId="0" applyNumberFormat="1" applyFont="1" applyBorder="1" applyAlignment="1">
      <alignment horizontal="center"/>
    </xf>
    <xf numFmtId="0" fontId="154" fillId="0" borderId="0" xfId="0" applyFont="1" applyAlignment="1">
      <alignment/>
    </xf>
    <xf numFmtId="0" fontId="133" fillId="33" borderId="11" xfId="0" applyFont="1" applyFill="1" applyBorder="1" applyAlignment="1">
      <alignment/>
    </xf>
    <xf numFmtId="188" fontId="133" fillId="0" borderId="11" xfId="0" applyNumberFormat="1" applyFont="1" applyBorder="1" applyAlignment="1">
      <alignment horizontal="center"/>
    </xf>
    <xf numFmtId="1" fontId="154" fillId="33" borderId="11" xfId="0" applyNumberFormat="1" applyFont="1" applyFill="1" applyBorder="1" applyAlignment="1">
      <alignment/>
    </xf>
    <xf numFmtId="0" fontId="154" fillId="33" borderId="11" xfId="0" applyFont="1" applyFill="1" applyBorder="1" applyAlignment="1">
      <alignment wrapText="1"/>
    </xf>
    <xf numFmtId="188" fontId="133" fillId="33" borderId="11" xfId="0" applyNumberFormat="1" applyFont="1" applyFill="1" applyBorder="1" applyAlignment="1">
      <alignment/>
    </xf>
    <xf numFmtId="0" fontId="154" fillId="38" borderId="11" xfId="0" applyFont="1" applyFill="1" applyBorder="1" applyAlignment="1">
      <alignment/>
    </xf>
    <xf numFmtId="188" fontId="154" fillId="38" borderId="11" xfId="0" applyNumberFormat="1" applyFont="1" applyFill="1" applyBorder="1" applyAlignment="1">
      <alignment horizontal="center"/>
    </xf>
    <xf numFmtId="188" fontId="133" fillId="0" borderId="11" xfId="0" applyNumberFormat="1" applyFont="1" applyBorder="1" applyAlignment="1">
      <alignment horizontal="center" wrapText="1"/>
    </xf>
    <xf numFmtId="188" fontId="154" fillId="38" borderId="11" xfId="0" applyNumberFormat="1" applyFont="1" applyFill="1" applyBorder="1" applyAlignment="1">
      <alignment horizontal="center" wrapText="1"/>
    </xf>
    <xf numFmtId="0" fontId="157" fillId="33" borderId="11" xfId="0" applyFont="1" applyFill="1" applyBorder="1" applyAlignment="1">
      <alignment/>
    </xf>
    <xf numFmtId="188" fontId="122" fillId="34" borderId="0" xfId="0" applyNumberFormat="1" applyFont="1" applyFill="1" applyAlignment="1">
      <alignment horizontal="left"/>
    </xf>
    <xf numFmtId="0" fontId="21" fillId="33" borderId="0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12" fillId="0" borderId="12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49" fontId="119" fillId="0" borderId="45" xfId="0" applyNumberFormat="1" applyFont="1" applyFill="1" applyBorder="1" applyAlignment="1">
      <alignment horizontal="center" vertical="top" wrapText="1"/>
    </xf>
    <xf numFmtId="49" fontId="119" fillId="0" borderId="35" xfId="0" applyNumberFormat="1" applyFont="1" applyFill="1" applyBorder="1" applyAlignment="1">
      <alignment horizontal="center" vertical="top" wrapText="1"/>
    </xf>
    <xf numFmtId="0" fontId="120" fillId="0" borderId="51" xfId="0" applyFont="1" applyFill="1" applyBorder="1" applyAlignment="1">
      <alignment horizontal="center" vertical="top" wrapText="1"/>
    </xf>
    <xf numFmtId="0" fontId="120" fillId="0" borderId="46" xfId="0" applyFont="1" applyFill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wrapText="1"/>
    </xf>
    <xf numFmtId="0" fontId="21" fillId="34" borderId="10" xfId="0" applyFont="1" applyFill="1" applyBorder="1" applyAlignment="1">
      <alignment horizontal="left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51" xfId="0" applyFont="1" applyFill="1" applyBorder="1" applyAlignment="1">
      <alignment horizontal="center" vertical="top" wrapText="1"/>
    </xf>
    <xf numFmtId="0" fontId="119" fillId="0" borderId="21" xfId="0" applyFont="1" applyFill="1" applyBorder="1" applyAlignment="1">
      <alignment horizontal="center" vertical="top" wrapText="1"/>
    </xf>
    <xf numFmtId="0" fontId="119" fillId="0" borderId="46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21" fillId="33" borderId="0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vertical="top"/>
    </xf>
    <xf numFmtId="0" fontId="12" fillId="0" borderId="45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19" fillId="0" borderId="21" xfId="0" applyFont="1" applyFill="1" applyBorder="1" applyAlignment="1">
      <alignment horizontal="left" vertical="top" wrapText="1"/>
    </xf>
    <xf numFmtId="0" fontId="135" fillId="0" borderId="13" xfId="0" applyFont="1" applyBorder="1" applyAlignment="1">
      <alignment horizontal="left" vertical="top" wrapText="1"/>
    </xf>
    <xf numFmtId="0" fontId="135" fillId="0" borderId="15" xfId="0" applyFont="1" applyBorder="1" applyAlignment="1">
      <alignment horizontal="left" vertical="top" wrapText="1"/>
    </xf>
    <xf numFmtId="0" fontId="119" fillId="0" borderId="0" xfId="0" applyFont="1" applyFill="1" applyBorder="1" applyAlignment="1">
      <alignment horizontal="left" vertical="center" wrapText="1"/>
    </xf>
    <xf numFmtId="0" fontId="131" fillId="33" borderId="10" xfId="0" applyFont="1" applyFill="1" applyBorder="1" applyAlignment="1">
      <alignment horizontal="left" wrapText="1"/>
    </xf>
    <xf numFmtId="0" fontId="119" fillId="0" borderId="11" xfId="0" applyFont="1" applyFill="1" applyBorder="1" applyAlignment="1">
      <alignment horizontal="left" vertical="center" wrapText="1"/>
    </xf>
    <xf numFmtId="0" fontId="132" fillId="0" borderId="11" xfId="0" applyFont="1" applyFill="1" applyBorder="1" applyAlignment="1">
      <alignment horizontal="left" vertical="center" wrapText="1"/>
    </xf>
    <xf numFmtId="0" fontId="122" fillId="0" borderId="0" xfId="0" applyFont="1" applyFill="1" applyAlignment="1">
      <alignment horizontal="left" vertical="center" wrapText="1"/>
    </xf>
    <xf numFmtId="49" fontId="119" fillId="0" borderId="12" xfId="0" applyNumberFormat="1" applyFont="1" applyFill="1" applyBorder="1" applyAlignment="1">
      <alignment horizontal="left" vertical="top" wrapText="1"/>
    </xf>
    <xf numFmtId="49" fontId="119" fillId="0" borderId="45" xfId="0" applyNumberFormat="1" applyFont="1" applyFill="1" applyBorder="1" applyAlignment="1">
      <alignment horizontal="left" vertical="top" wrapText="1"/>
    </xf>
    <xf numFmtId="0" fontId="119" fillId="0" borderId="51" xfId="0" applyFont="1" applyFill="1" applyBorder="1" applyAlignment="1">
      <alignment horizontal="left" vertical="top" wrapText="1"/>
    </xf>
    <xf numFmtId="0" fontId="122" fillId="34" borderId="0" xfId="0" applyFont="1" applyFill="1" applyBorder="1" applyAlignment="1">
      <alignment horizontal="left" wrapText="1"/>
    </xf>
    <xf numFmtId="0" fontId="122" fillId="39" borderId="0" xfId="0" applyFont="1" applyFill="1" applyAlignment="1">
      <alignment horizontal="left" wrapText="1"/>
    </xf>
    <xf numFmtId="0" fontId="133" fillId="0" borderId="43" xfId="0" applyFont="1" applyBorder="1" applyAlignment="1">
      <alignment horizontal="left" wrapText="1"/>
    </xf>
    <xf numFmtId="0" fontId="133" fillId="0" borderId="61" xfId="0" applyFont="1" applyBorder="1" applyAlignment="1">
      <alignment horizontal="left" wrapText="1"/>
    </xf>
    <xf numFmtId="0" fontId="133" fillId="0" borderId="40" xfId="0" applyFont="1" applyBorder="1" applyAlignment="1">
      <alignment horizontal="left" wrapText="1"/>
    </xf>
    <xf numFmtId="0" fontId="133" fillId="0" borderId="41" xfId="0" applyFont="1" applyBorder="1" applyAlignment="1">
      <alignment horizontal="left" wrapText="1"/>
    </xf>
    <xf numFmtId="0" fontId="133" fillId="0" borderId="38" xfId="0" applyFont="1" applyBorder="1" applyAlignment="1">
      <alignment horizontal="left" wrapText="1"/>
    </xf>
    <xf numFmtId="0" fontId="133" fillId="0" borderId="58" xfId="0" applyFont="1" applyBorder="1" applyAlignment="1">
      <alignment horizontal="left" wrapText="1"/>
    </xf>
    <xf numFmtId="0" fontId="131" fillId="33" borderId="0" xfId="0" applyFont="1" applyFill="1" applyBorder="1" applyAlignment="1">
      <alignment horizontal="left" wrapText="1"/>
    </xf>
    <xf numFmtId="0" fontId="119" fillId="33" borderId="0" xfId="0" applyFont="1" applyFill="1" applyBorder="1" applyAlignment="1">
      <alignment horizontal="left" vertical="center" wrapText="1"/>
    </xf>
    <xf numFmtId="0" fontId="133" fillId="0" borderId="12" xfId="0" applyFont="1" applyBorder="1" applyAlignment="1">
      <alignment horizontal="center" vertical="center"/>
    </xf>
    <xf numFmtId="0" fontId="133" fillId="0" borderId="35" xfId="0" applyFont="1" applyBorder="1" applyAlignment="1">
      <alignment horizontal="center" vertical="center"/>
    </xf>
    <xf numFmtId="0" fontId="133" fillId="0" borderId="12" xfId="0" applyFont="1" applyBorder="1" applyAlignment="1">
      <alignment horizontal="center" vertical="center" wrapText="1"/>
    </xf>
    <xf numFmtId="0" fontId="133" fillId="0" borderId="35" xfId="0" applyFont="1" applyBorder="1" applyAlignment="1">
      <alignment horizontal="center" vertical="center" wrapText="1"/>
    </xf>
    <xf numFmtId="0" fontId="154" fillId="34" borderId="0" xfId="0" applyFont="1" applyFill="1" applyBorder="1" applyAlignment="1">
      <alignment horizontal="center" wrapText="1"/>
    </xf>
    <xf numFmtId="0" fontId="13" fillId="12" borderId="12" xfId="0" applyFont="1" applyFill="1" applyBorder="1" applyAlignment="1">
      <alignment horizontal="center" vertical="center"/>
    </xf>
    <xf numFmtId="0" fontId="13" fillId="12" borderId="35" xfId="0" applyFont="1" applyFill="1" applyBorder="1" applyAlignment="1">
      <alignment horizontal="center" vertical="center"/>
    </xf>
    <xf numFmtId="0" fontId="19" fillId="12" borderId="12" xfId="0" applyFont="1" applyFill="1" applyBorder="1" applyAlignment="1">
      <alignment horizontal="center" vertical="center" wrapText="1"/>
    </xf>
    <xf numFmtId="0" fontId="19" fillId="12" borderId="35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>
      <alignment horizontal="center"/>
    </xf>
    <xf numFmtId="0" fontId="36" fillId="33" borderId="0" xfId="0" applyFont="1" applyFill="1" applyAlignment="1">
      <alignment horizontal="center"/>
    </xf>
    <xf numFmtId="0" fontId="22" fillId="12" borderId="12" xfId="0" applyFont="1" applyFill="1" applyBorder="1" applyAlignment="1">
      <alignment horizontal="center" vertical="center"/>
    </xf>
    <xf numFmtId="0" fontId="22" fillId="12" borderId="35" xfId="0" applyFont="1" applyFill="1" applyBorder="1" applyAlignment="1">
      <alignment horizontal="center" vertical="center"/>
    </xf>
    <xf numFmtId="0" fontId="22" fillId="12" borderId="12" xfId="0" applyFont="1" applyFill="1" applyBorder="1" applyAlignment="1">
      <alignment horizontal="center" vertical="center" wrapText="1"/>
    </xf>
    <xf numFmtId="0" fontId="22" fillId="12" borderId="35" xfId="0" applyFont="1" applyFill="1" applyBorder="1" applyAlignment="1">
      <alignment horizontal="center" vertical="center" wrapText="1"/>
    </xf>
    <xf numFmtId="0" fontId="14" fillId="12" borderId="13" xfId="0" applyFont="1" applyFill="1" applyBorder="1" applyAlignment="1">
      <alignment horizontal="center" wrapText="1"/>
    </xf>
    <xf numFmtId="0" fontId="14" fillId="12" borderId="14" xfId="0" applyFont="1" applyFill="1" applyBorder="1" applyAlignment="1">
      <alignment horizontal="center" wrapText="1"/>
    </xf>
    <xf numFmtId="0" fontId="14" fillId="12" borderId="15" xfId="0" applyFont="1" applyFill="1" applyBorder="1" applyAlignment="1">
      <alignment horizontal="center" wrapText="1"/>
    </xf>
    <xf numFmtId="0" fontId="22" fillId="34" borderId="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9" fillId="34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22" fillId="34" borderId="0" xfId="0" applyFont="1" applyFill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12" fillId="33" borderId="63" xfId="0" applyFont="1" applyFill="1" applyBorder="1" applyAlignment="1">
      <alignment horizontal="center"/>
    </xf>
    <xf numFmtId="0" fontId="12" fillId="33" borderId="64" xfId="0" applyFont="1" applyFill="1" applyBorder="1" applyAlignment="1">
      <alignment horizontal="center"/>
    </xf>
    <xf numFmtId="0" fontId="12" fillId="32" borderId="65" xfId="0" applyFont="1" applyFill="1" applyBorder="1" applyAlignment="1">
      <alignment horizontal="center"/>
    </xf>
    <xf numFmtId="0" fontId="12" fillId="32" borderId="66" xfId="0" applyFont="1" applyFill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33" borderId="42" xfId="0" applyFont="1" applyFill="1" applyBorder="1" applyAlignment="1">
      <alignment horizontal="center" wrapText="1"/>
    </xf>
    <xf numFmtId="0" fontId="22" fillId="33" borderId="62" xfId="0" applyFont="1" applyFill="1" applyBorder="1" applyAlignment="1">
      <alignment horizontal="center" wrapText="1"/>
    </xf>
    <xf numFmtId="0" fontId="22" fillId="33" borderId="44" xfId="0" applyFont="1" applyFill="1" applyBorder="1" applyAlignment="1">
      <alignment horizontal="center" wrapText="1"/>
    </xf>
    <xf numFmtId="0" fontId="22" fillId="0" borderId="67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188" fontId="121" fillId="0" borderId="11" xfId="0" applyNumberFormat="1" applyFont="1" applyBorder="1" applyAlignment="1">
      <alignment horizontal="left"/>
    </xf>
    <xf numFmtId="0" fontId="120" fillId="0" borderId="41" xfId="0" applyFont="1" applyBorder="1" applyAlignment="1">
      <alignment horizontal="left" vertical="center" wrapText="1"/>
    </xf>
    <xf numFmtId="0" fontId="120" fillId="0" borderId="70" xfId="0" applyFont="1" applyBorder="1" applyAlignment="1">
      <alignment horizontal="left" vertical="center" wrapText="1"/>
    </xf>
    <xf numFmtId="3" fontId="120" fillId="0" borderId="41" xfId="0" applyNumberFormat="1" applyFont="1" applyBorder="1" applyAlignment="1">
      <alignment horizontal="left" vertical="center" wrapText="1"/>
    </xf>
    <xf numFmtId="3" fontId="120" fillId="0" borderId="70" xfId="0" applyNumberFormat="1" applyFont="1" applyBorder="1" applyAlignment="1">
      <alignment horizontal="left" vertical="center" wrapText="1"/>
    </xf>
    <xf numFmtId="0" fontId="122" fillId="0" borderId="0" xfId="0" applyFont="1" applyAlignment="1">
      <alignment horizontal="left" vertical="center" wrapText="1"/>
    </xf>
    <xf numFmtId="0" fontId="122" fillId="0" borderId="10" xfId="0" applyFont="1" applyBorder="1" applyAlignment="1">
      <alignment horizontal="left" vertical="center" wrapText="1"/>
    </xf>
    <xf numFmtId="0" fontId="119" fillId="0" borderId="42" xfId="0" applyFont="1" applyBorder="1" applyAlignment="1">
      <alignment horizontal="left" vertical="center" wrapText="1"/>
    </xf>
    <xf numFmtId="0" fontId="119" fillId="0" borderId="44" xfId="0" applyFont="1" applyBorder="1" applyAlignment="1">
      <alignment horizontal="left" vertical="center" wrapText="1"/>
    </xf>
    <xf numFmtId="0" fontId="122" fillId="0" borderId="42" xfId="0" applyFont="1" applyBorder="1" applyAlignment="1">
      <alignment horizontal="left" vertical="center" wrapText="1"/>
    </xf>
    <xf numFmtId="0" fontId="122" fillId="0" borderId="44" xfId="0" applyFont="1" applyBorder="1" applyAlignment="1">
      <alignment horizontal="left" vertical="center" wrapText="1"/>
    </xf>
    <xf numFmtId="188" fontId="121" fillId="0" borderId="12" xfId="0" applyNumberFormat="1" applyFont="1" applyBorder="1" applyAlignment="1">
      <alignment horizontal="left"/>
    </xf>
    <xf numFmtId="188" fontId="121" fillId="0" borderId="35" xfId="0" applyNumberFormat="1" applyFont="1" applyBorder="1" applyAlignment="1">
      <alignment horizontal="left"/>
    </xf>
    <xf numFmtId="0" fontId="120" fillId="0" borderId="42" xfId="0" applyFont="1" applyBorder="1" applyAlignment="1">
      <alignment horizontal="left" vertical="center" wrapText="1"/>
    </xf>
    <xf numFmtId="0" fontId="120" fillId="0" borderId="44" xfId="0" applyFont="1" applyBorder="1" applyAlignment="1">
      <alignment horizontal="left" vertical="center" wrapText="1"/>
    </xf>
    <xf numFmtId="0" fontId="121" fillId="35" borderId="12" xfId="0" applyFont="1" applyFill="1" applyBorder="1" applyAlignment="1">
      <alignment horizontal="left" vertical="top" wrapText="1"/>
    </xf>
    <xf numFmtId="0" fontId="121" fillId="35" borderId="45" xfId="0" applyFont="1" applyFill="1" applyBorder="1" applyAlignment="1">
      <alignment horizontal="left" vertical="top" wrapText="1"/>
    </xf>
    <xf numFmtId="0" fontId="121" fillId="35" borderId="35" xfId="0" applyFont="1" applyFill="1" applyBorder="1" applyAlignment="1">
      <alignment horizontal="left" vertical="top" wrapText="1"/>
    </xf>
    <xf numFmtId="0" fontId="122" fillId="40" borderId="42" xfId="0" applyFont="1" applyFill="1" applyBorder="1" applyAlignment="1">
      <alignment horizontal="left" vertical="center" wrapText="1"/>
    </xf>
    <xf numFmtId="0" fontId="122" fillId="40" borderId="62" xfId="0" applyFont="1" applyFill="1" applyBorder="1" applyAlignment="1">
      <alignment horizontal="left" vertical="center" wrapText="1"/>
    </xf>
    <xf numFmtId="0" fontId="122" fillId="40" borderId="44" xfId="0" applyFont="1" applyFill="1" applyBorder="1" applyAlignment="1">
      <alignment horizontal="left" vertical="center" wrapText="1"/>
    </xf>
    <xf numFmtId="0" fontId="122" fillId="0" borderId="41" xfId="0" applyFont="1" applyBorder="1" applyAlignment="1">
      <alignment horizontal="left" vertical="center" wrapText="1"/>
    </xf>
    <xf numFmtId="0" fontId="122" fillId="0" borderId="58" xfId="0" applyFont="1" applyBorder="1" applyAlignment="1">
      <alignment horizontal="left" vertical="center" wrapText="1"/>
    </xf>
    <xf numFmtId="0" fontId="122" fillId="0" borderId="70" xfId="0" applyFont="1" applyBorder="1" applyAlignment="1">
      <alignment horizontal="left" vertical="center" wrapText="1"/>
    </xf>
    <xf numFmtId="0" fontId="122" fillId="0" borderId="60" xfId="0" applyFont="1" applyBorder="1" applyAlignment="1">
      <alignment horizontal="left" vertical="center" wrapText="1"/>
    </xf>
    <xf numFmtId="0" fontId="122" fillId="0" borderId="0" xfId="0" applyFont="1" applyAlignment="1">
      <alignment horizontal="left"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4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0" fontId="13" fillId="33" borderId="61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 wrapText="1"/>
    </xf>
    <xf numFmtId="0" fontId="22" fillId="34" borderId="43" xfId="0" applyFont="1" applyFill="1" applyBorder="1" applyAlignment="1">
      <alignment horizontal="center" vertical="center" wrapText="1"/>
    </xf>
    <xf numFmtId="0" fontId="22" fillId="34" borderId="61" xfId="0" applyFont="1" applyFill="1" applyBorder="1" applyAlignment="1">
      <alignment horizontal="center" vertical="center" wrapText="1"/>
    </xf>
    <xf numFmtId="0" fontId="22" fillId="34" borderId="40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wrapText="1"/>
    </xf>
    <xf numFmtId="0" fontId="125" fillId="34" borderId="0" xfId="0" applyFont="1" applyFill="1" applyBorder="1" applyAlignment="1">
      <alignment horizontal="center" wrapText="1"/>
    </xf>
    <xf numFmtId="0" fontId="125" fillId="34" borderId="61" xfId="0" applyFont="1" applyFill="1" applyBorder="1" applyAlignment="1">
      <alignment horizontal="center" vertical="center" wrapText="1"/>
    </xf>
    <xf numFmtId="0" fontId="125" fillId="34" borderId="40" xfId="0" applyFont="1" applyFill="1" applyBorder="1" applyAlignment="1">
      <alignment horizontal="center" vertical="center" wrapText="1"/>
    </xf>
    <xf numFmtId="0" fontId="125" fillId="33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3" fillId="33" borderId="0" xfId="81" applyFont="1" applyFill="1" applyAlignment="1">
      <alignment horizontal="center"/>
      <protection/>
    </xf>
    <xf numFmtId="0" fontId="10" fillId="33" borderId="0" xfId="81" applyFont="1" applyFill="1" applyAlignment="1">
      <alignment horizontal="center" wrapText="1"/>
      <protection/>
    </xf>
    <xf numFmtId="0" fontId="11" fillId="33" borderId="0" xfId="81" applyFont="1" applyFill="1" applyBorder="1" applyAlignment="1">
      <alignment horizontal="left" wrapText="1"/>
      <protection/>
    </xf>
    <xf numFmtId="0" fontId="122" fillId="34" borderId="13" xfId="0" applyFont="1" applyFill="1" applyBorder="1" applyAlignment="1">
      <alignment horizontal="center" vertical="center"/>
    </xf>
    <xf numFmtId="0" fontId="122" fillId="34" borderId="14" xfId="0" applyFont="1" applyFill="1" applyBorder="1" applyAlignment="1">
      <alignment horizontal="center" vertical="center"/>
    </xf>
    <xf numFmtId="0" fontId="122" fillId="34" borderId="15" xfId="0" applyFont="1" applyFill="1" applyBorder="1" applyAlignment="1">
      <alignment horizontal="center" vertical="center"/>
    </xf>
    <xf numFmtId="0" fontId="150" fillId="34" borderId="10" xfId="0" applyFont="1" applyFill="1" applyBorder="1" applyAlignment="1">
      <alignment horizontal="center" wrapText="1"/>
    </xf>
    <xf numFmtId="0" fontId="122" fillId="34" borderId="0" xfId="0" applyFont="1" applyFill="1" applyBorder="1" applyAlignment="1">
      <alignment horizontal="center" wrapText="1"/>
    </xf>
    <xf numFmtId="1" fontId="119" fillId="34" borderId="71" xfId="0" applyNumberFormat="1" applyFont="1" applyFill="1" applyBorder="1" applyAlignment="1">
      <alignment horizontal="center" wrapText="1"/>
    </xf>
    <xf numFmtId="0" fontId="119" fillId="34" borderId="12" xfId="0" applyFont="1" applyFill="1" applyBorder="1" applyAlignment="1">
      <alignment horizontal="center" vertical="center" wrapText="1"/>
    </xf>
    <xf numFmtId="0" fontId="119" fillId="34" borderId="35" xfId="0" applyFont="1" applyFill="1" applyBorder="1" applyAlignment="1">
      <alignment horizontal="center" vertical="center" wrapText="1"/>
    </xf>
    <xf numFmtId="0" fontId="119" fillId="12" borderId="12" xfId="0" applyFont="1" applyFill="1" applyBorder="1" applyAlignment="1">
      <alignment horizontal="center" vertical="center" wrapText="1"/>
    </xf>
    <xf numFmtId="0" fontId="119" fillId="12" borderId="35" xfId="0" applyFont="1" applyFill="1" applyBorder="1" applyAlignment="1">
      <alignment horizontal="center" vertical="center" wrapText="1"/>
    </xf>
    <xf numFmtId="1" fontId="119" fillId="12" borderId="12" xfId="0" applyNumberFormat="1" applyFont="1" applyFill="1" applyBorder="1" applyAlignment="1">
      <alignment horizontal="center" vertical="center" wrapText="1"/>
    </xf>
    <xf numFmtId="1" fontId="119" fillId="12" borderId="35" xfId="0" applyNumberFormat="1" applyFont="1" applyFill="1" applyBorder="1" applyAlignment="1">
      <alignment horizontal="center" vertical="center" wrapText="1"/>
    </xf>
    <xf numFmtId="0" fontId="122" fillId="34" borderId="13" xfId="0" applyFont="1" applyFill="1" applyBorder="1" applyAlignment="1">
      <alignment horizontal="center" wrapText="1"/>
    </xf>
    <xf numFmtId="0" fontId="122" fillId="34" borderId="14" xfId="0" applyFont="1" applyFill="1" applyBorder="1" applyAlignment="1">
      <alignment horizontal="center" wrapText="1"/>
    </xf>
    <xf numFmtId="0" fontId="122" fillId="34" borderId="15" xfId="0" applyFont="1" applyFill="1" applyBorder="1" applyAlignment="1">
      <alignment horizontal="center" wrapText="1"/>
    </xf>
    <xf numFmtId="0" fontId="122" fillId="34" borderId="13" xfId="0" applyFont="1" applyFill="1" applyBorder="1" applyAlignment="1">
      <alignment horizontal="center"/>
    </xf>
    <xf numFmtId="0" fontId="122" fillId="34" borderId="14" xfId="0" applyFont="1" applyFill="1" applyBorder="1" applyAlignment="1">
      <alignment horizontal="center"/>
    </xf>
    <xf numFmtId="0" fontId="122" fillId="34" borderId="15" xfId="0" applyFont="1" applyFill="1" applyBorder="1" applyAlignment="1">
      <alignment horizontal="center"/>
    </xf>
    <xf numFmtId="0" fontId="119" fillId="34" borderId="0" xfId="0" applyFont="1" applyFill="1" applyAlignment="1">
      <alignment horizontal="left" wrapText="1"/>
    </xf>
    <xf numFmtId="1" fontId="122" fillId="34" borderId="13" xfId="87" applyNumberFormat="1" applyFont="1" applyFill="1" applyBorder="1" applyAlignment="1">
      <alignment horizontal="center" vertical="center"/>
      <protection/>
    </xf>
    <xf numFmtId="1" fontId="122" fillId="34" borderId="14" xfId="87" applyNumberFormat="1" applyFont="1" applyFill="1" applyBorder="1" applyAlignment="1">
      <alignment horizontal="center" vertical="center"/>
      <protection/>
    </xf>
    <xf numFmtId="1" fontId="122" fillId="34" borderId="15" xfId="87" applyNumberFormat="1" applyFont="1" applyFill="1" applyBorder="1" applyAlignment="1">
      <alignment horizontal="center" vertical="center"/>
      <protection/>
    </xf>
    <xf numFmtId="1" fontId="119" fillId="34" borderId="13" xfId="0" applyNumberFormat="1" applyFont="1" applyFill="1" applyBorder="1" applyAlignment="1">
      <alignment horizontal="center"/>
    </xf>
    <xf numFmtId="1" fontId="119" fillId="34" borderId="14" xfId="0" applyNumberFormat="1" applyFont="1" applyFill="1" applyBorder="1" applyAlignment="1">
      <alignment horizontal="center"/>
    </xf>
    <xf numFmtId="1" fontId="119" fillId="34" borderId="15" xfId="0" applyNumberFormat="1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left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2 3" xfId="47"/>
    <cellStyle name="Comma 2 4" xfId="48"/>
    <cellStyle name="Comma 3" xfId="49"/>
    <cellStyle name="Comma 3 2" xfId="50"/>
    <cellStyle name="Comma 3 2 2" xfId="51"/>
    <cellStyle name="Comma 3 3" xfId="52"/>
    <cellStyle name="Comma 4" xfId="53"/>
    <cellStyle name="Comma 5" xfId="54"/>
    <cellStyle name="Comma 6" xfId="55"/>
    <cellStyle name="Comma 6 2" xfId="56"/>
    <cellStyle name="Comma 6 2 2" xfId="57"/>
    <cellStyle name="Comma 6 3" xfId="58"/>
    <cellStyle name="Comma 7" xfId="59"/>
    <cellStyle name="Comma 7 2" xfId="60"/>
    <cellStyle name="Comma 7 2 2" xfId="61"/>
    <cellStyle name="Comma 7 3" xfId="62"/>
    <cellStyle name="Comma 8" xfId="63"/>
    <cellStyle name="Comma 9" xfId="64"/>
    <cellStyle name="Currency" xfId="65"/>
    <cellStyle name="Currency [0]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3" xfId="84"/>
    <cellStyle name="Normal 2 3 2" xfId="85"/>
    <cellStyle name="Normal 2 4" xfId="86"/>
    <cellStyle name="Normal 3" xfId="87"/>
    <cellStyle name="Normal 3 2" xfId="88"/>
    <cellStyle name="Normal 3 3" xfId="89"/>
    <cellStyle name="Normal 4" xfId="90"/>
    <cellStyle name="Normal 4 2" xfId="91"/>
    <cellStyle name="Normal 4 3" xfId="92"/>
    <cellStyle name="Normal 5" xfId="93"/>
    <cellStyle name="Normal 6" xfId="94"/>
    <cellStyle name="Normal 6 2" xfId="95"/>
    <cellStyle name="Normal 6 2 2" xfId="96"/>
    <cellStyle name="Normal 6 3" xfId="97"/>
    <cellStyle name="Normal 7" xfId="98"/>
    <cellStyle name="Normal 8" xfId="99"/>
    <cellStyle name="Normal 8 2" xfId="100"/>
    <cellStyle name="Normal 9" xfId="101"/>
    <cellStyle name="Normal_9.2.karavarmanaparat2013-2015-Ashxatakazm_LILIT 2 2 2" xfId="102"/>
    <cellStyle name="Note" xfId="103"/>
    <cellStyle name="Output" xfId="104"/>
    <cellStyle name="Percent" xfId="105"/>
    <cellStyle name="SN_241 2" xfId="106"/>
    <cellStyle name="Style 1" xfId="107"/>
    <cellStyle name="Style 1 2" xfId="108"/>
    <cellStyle name="Style 1 3" xfId="109"/>
    <cellStyle name="Style 1 4" xfId="110"/>
    <cellStyle name="Title" xfId="111"/>
    <cellStyle name="Total" xfId="112"/>
    <cellStyle name="Warning Text" xfId="113"/>
    <cellStyle name="Обычный 2" xfId="114"/>
    <cellStyle name="Обычный 3" xfId="115"/>
    <cellStyle name="Обычный 4" xfId="116"/>
    <cellStyle name="Обычный 5" xfId="117"/>
    <cellStyle name="Обычный 7" xfId="118"/>
    <cellStyle name="Стиль 1" xfId="119"/>
    <cellStyle name="Стиль 1 2" xfId="120"/>
    <cellStyle name="Стиль 1 2 2" xfId="121"/>
    <cellStyle name="Стиль 1 2 3" xfId="122"/>
    <cellStyle name="Стиль 1 3" xfId="123"/>
    <cellStyle name="Финансовый 2" xfId="124"/>
    <cellStyle name="Финансовый 2 2" xfId="125"/>
    <cellStyle name="Финансовый 3" xfId="126"/>
    <cellStyle name="Финансовый 3 2" xfId="127"/>
    <cellStyle name="Финансовый 4" xfId="128"/>
    <cellStyle name="Финансовый 5" xfId="129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vik\Downloads\havaqac\ashx%202024\&#1392;&#1377;&#1405;&#1407;&#1387;&#1412;&#1377;&#1409;-&#1379;&#1400;&#1408;&#1390;&#1377;&#1391;&#1387;&#1409;\&#1348;&#1338;&#1342;&#1342;%2025-27%20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կառուցվածք"/>
      <sheetName val="հաստիքացուցակ"/>
      <sheetName val="աշխ. ֆոնդի հաշվարկ"/>
    </sheetNames>
    <sheetDataSet>
      <sheetData sheetId="1">
        <row r="19">
          <cell r="G19">
            <v>7</v>
          </cell>
          <cell r="J19">
            <v>6240000</v>
          </cell>
          <cell r="N19">
            <v>7</v>
          </cell>
          <cell r="Q19">
            <v>6240000</v>
          </cell>
          <cell r="Z19">
            <v>7</v>
          </cell>
          <cell r="AC19">
            <v>6240000</v>
          </cell>
          <cell r="AG19">
            <v>7</v>
          </cell>
          <cell r="AJ19">
            <v>6240000</v>
          </cell>
        </row>
        <row r="38">
          <cell r="G38">
            <v>12</v>
          </cell>
          <cell r="J38">
            <v>3827200</v>
          </cell>
          <cell r="N38">
            <v>12</v>
          </cell>
          <cell r="Q38">
            <v>3827200</v>
          </cell>
          <cell r="Z38">
            <v>12</v>
          </cell>
          <cell r="AC38">
            <v>3827200</v>
          </cell>
          <cell r="AG38">
            <v>12</v>
          </cell>
          <cell r="AJ38">
            <v>3827200</v>
          </cell>
        </row>
        <row r="68">
          <cell r="G68">
            <v>12</v>
          </cell>
        </row>
        <row r="84">
          <cell r="G84">
            <v>12</v>
          </cell>
        </row>
        <row r="103">
          <cell r="G103">
            <v>15</v>
          </cell>
        </row>
        <row r="122">
          <cell r="G122">
            <v>16</v>
          </cell>
        </row>
        <row r="139">
          <cell r="G139">
            <v>13</v>
          </cell>
        </row>
        <row r="155">
          <cell r="G155">
            <v>12</v>
          </cell>
        </row>
        <row r="171">
          <cell r="G171">
            <v>11</v>
          </cell>
        </row>
        <row r="185">
          <cell r="G185">
            <v>10</v>
          </cell>
        </row>
        <row r="199">
          <cell r="G199">
            <v>7</v>
          </cell>
        </row>
        <row r="209">
          <cell r="G209">
            <v>5</v>
          </cell>
        </row>
        <row r="217">
          <cell r="G217">
            <v>3</v>
          </cell>
        </row>
        <row r="225">
          <cell r="G225">
            <v>4</v>
          </cell>
        </row>
        <row r="227">
          <cell r="G227">
            <v>121</v>
          </cell>
          <cell r="J227">
            <v>42141890</v>
          </cell>
          <cell r="K227">
            <v>64521.6</v>
          </cell>
          <cell r="L227">
            <v>529456.1000000001</v>
          </cell>
          <cell r="N227">
            <v>121</v>
          </cell>
          <cell r="Q227">
            <v>41883550</v>
          </cell>
          <cell r="R227">
            <v>64521.6</v>
          </cell>
          <cell r="S227">
            <v>529393.5000000001</v>
          </cell>
          <cell r="Z227">
            <v>121</v>
          </cell>
          <cell r="AC227">
            <v>42403138</v>
          </cell>
          <cell r="AD227">
            <v>64521.6</v>
          </cell>
          <cell r="AE227">
            <v>529955.3</v>
          </cell>
          <cell r="AG227">
            <v>121</v>
          </cell>
          <cell r="AJ227">
            <v>42671874</v>
          </cell>
          <cell r="AK227">
            <v>66643.2</v>
          </cell>
          <cell r="AL227">
            <v>534988.8999999999</v>
          </cell>
        </row>
        <row r="232">
          <cell r="G232">
            <v>1</v>
          </cell>
        </row>
        <row r="251">
          <cell r="G251">
            <v>13</v>
          </cell>
        </row>
        <row r="252">
          <cell r="G252">
            <v>15</v>
          </cell>
          <cell r="J252">
            <v>2129755</v>
          </cell>
          <cell r="N252">
            <v>15</v>
          </cell>
          <cell r="Q252">
            <v>2129755</v>
          </cell>
          <cell r="Z252">
            <v>15</v>
          </cell>
          <cell r="AC252">
            <v>2129755</v>
          </cell>
          <cell r="AG252">
            <v>15</v>
          </cell>
          <cell r="AJ252">
            <v>2129755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28125" style="185" customWidth="1"/>
    <col min="2" max="2" width="15.7109375" style="185" customWidth="1"/>
    <col min="3" max="3" width="7.28125" style="185" customWidth="1"/>
    <col min="4" max="4" width="14.57421875" style="185" customWidth="1"/>
    <col min="5" max="5" width="12.28125" style="185" customWidth="1"/>
    <col min="6" max="6" width="45.140625" style="185" customWidth="1"/>
    <col min="7" max="7" width="12.8515625" style="188" customWidth="1"/>
    <col min="8" max="9" width="16.28125" style="188" customWidth="1"/>
    <col min="10" max="10" width="14.28125" style="188" customWidth="1"/>
    <col min="11" max="11" width="15.00390625" style="188" customWidth="1"/>
    <col min="12" max="12" width="17.00390625" style="185" bestFit="1" customWidth="1"/>
    <col min="13" max="13" width="12.140625" style="185" bestFit="1" customWidth="1"/>
    <col min="14" max="16384" width="9.140625" style="185" customWidth="1"/>
  </cols>
  <sheetData>
    <row r="1" spans="2:13" ht="21" customHeight="1">
      <c r="B1" s="185" t="s">
        <v>1458</v>
      </c>
      <c r="J1" s="1012"/>
      <c r="K1" s="1012"/>
      <c r="L1" s="1012"/>
      <c r="M1" s="1012"/>
    </row>
    <row r="2" spans="1:13" ht="24.75" customHeight="1">
      <c r="A2" s="998" t="s">
        <v>1459</v>
      </c>
      <c r="B2" s="998"/>
      <c r="C2" s="998"/>
      <c r="D2" s="998"/>
      <c r="E2" s="998"/>
      <c r="J2" s="1012"/>
      <c r="K2" s="1012"/>
      <c r="L2" s="1012"/>
      <c r="M2" s="1012"/>
    </row>
    <row r="3" spans="1:13" ht="17.25">
      <c r="A3" s="1005" t="s">
        <v>10</v>
      </c>
      <c r="B3" s="1005"/>
      <c r="C3" s="1005"/>
      <c r="D3" s="1005"/>
      <c r="J3" s="1012"/>
      <c r="K3" s="1012"/>
      <c r="L3" s="1012"/>
      <c r="M3" s="1012"/>
    </row>
    <row r="4" ht="17.25">
      <c r="M4" s="188"/>
    </row>
    <row r="5" spans="1:7" ht="18" thickBot="1">
      <c r="A5" s="1006" t="s">
        <v>1107</v>
      </c>
      <c r="B5" s="1006"/>
      <c r="C5" s="1006"/>
      <c r="D5" s="1006"/>
      <c r="E5" s="1006"/>
      <c r="F5" s="1006"/>
      <c r="G5" s="1006"/>
    </row>
    <row r="7" spans="7:11" s="55" customFormat="1" ht="23.25" customHeight="1">
      <c r="G7" s="189"/>
      <c r="H7" s="103" t="s">
        <v>8</v>
      </c>
      <c r="I7" s="103"/>
      <c r="J7" s="103"/>
      <c r="K7" s="103"/>
    </row>
    <row r="8" spans="7:11" s="55" customFormat="1" ht="17.25">
      <c r="G8" s="103"/>
      <c r="H8" s="103"/>
      <c r="I8" s="103" t="s">
        <v>9</v>
      </c>
      <c r="J8" s="103"/>
      <c r="K8" s="103"/>
    </row>
    <row r="9" spans="1:11" s="55" customFormat="1" ht="27" customHeight="1" thickBot="1">
      <c r="A9" s="1011"/>
      <c r="B9" s="1011"/>
      <c r="C9" s="1011"/>
      <c r="D9" s="1011"/>
      <c r="E9" s="1011"/>
      <c r="F9" s="1011"/>
      <c r="G9" s="1011"/>
      <c r="H9" s="103"/>
      <c r="I9" s="103"/>
      <c r="J9" s="103"/>
      <c r="K9" s="103"/>
    </row>
    <row r="10" spans="1:11" s="55" customFormat="1" ht="35.25" customHeight="1">
      <c r="A10" s="997"/>
      <c r="B10" s="997" t="s">
        <v>1458</v>
      </c>
      <c r="C10" s="997"/>
      <c r="D10" s="997"/>
      <c r="E10" s="997"/>
      <c r="F10" s="997"/>
      <c r="G10" s="997"/>
      <c r="H10" s="103"/>
      <c r="I10" s="103"/>
      <c r="J10" s="103"/>
      <c r="K10" s="103"/>
    </row>
    <row r="11" spans="1:11" s="55" customFormat="1" ht="17.25" customHeight="1">
      <c r="A11" s="1013" t="s">
        <v>1459</v>
      </c>
      <c r="B11" s="1013"/>
      <c r="C11" s="1013"/>
      <c r="D11" s="1013"/>
      <c r="E11" s="1013"/>
      <c r="F11" s="1013"/>
      <c r="G11" s="103"/>
      <c r="H11" s="103"/>
      <c r="I11" s="103"/>
      <c r="J11" s="103"/>
      <c r="K11" s="103"/>
    </row>
    <row r="12" spans="7:11" s="55" customFormat="1" ht="17.25">
      <c r="G12" s="112"/>
      <c r="H12" s="112"/>
      <c r="I12" s="112"/>
      <c r="J12" s="112"/>
      <c r="K12" s="112"/>
    </row>
    <row r="13" spans="7:11" s="55" customFormat="1" ht="13.5" customHeight="1">
      <c r="G13" s="111"/>
      <c r="H13" s="112"/>
      <c r="I13" s="112" t="s">
        <v>223</v>
      </c>
      <c r="J13" s="112" t="s">
        <v>223</v>
      </c>
      <c r="K13" s="112" t="s">
        <v>223</v>
      </c>
    </row>
    <row r="14" spans="1:12" ht="13.5" customHeight="1">
      <c r="A14" s="1007" t="s">
        <v>195</v>
      </c>
      <c r="B14" s="1007" t="s">
        <v>196</v>
      </c>
      <c r="C14" s="1007" t="s">
        <v>197</v>
      </c>
      <c r="D14" s="1007" t="s">
        <v>198</v>
      </c>
      <c r="E14" s="1007"/>
      <c r="F14" s="1007" t="s">
        <v>218</v>
      </c>
      <c r="G14" s="999" t="s">
        <v>857</v>
      </c>
      <c r="H14" s="999" t="s">
        <v>858</v>
      </c>
      <c r="I14" s="999" t="s">
        <v>239</v>
      </c>
      <c r="J14" s="999" t="s">
        <v>291</v>
      </c>
      <c r="K14" s="999" t="s">
        <v>859</v>
      </c>
      <c r="L14" s="188"/>
    </row>
    <row r="15" spans="1:12" ht="63" customHeight="1">
      <c r="A15" s="1007"/>
      <c r="B15" s="1007"/>
      <c r="C15" s="1007"/>
      <c r="D15" s="187" t="s">
        <v>199</v>
      </c>
      <c r="E15" s="187" t="s">
        <v>200</v>
      </c>
      <c r="F15" s="1007"/>
      <c r="G15" s="1000"/>
      <c r="H15" s="1000"/>
      <c r="I15" s="1000"/>
      <c r="J15" s="1000"/>
      <c r="K15" s="1000"/>
      <c r="L15" s="188"/>
    </row>
    <row r="16" spans="1:12" ht="17.25">
      <c r="A16" s="179">
        <v>1</v>
      </c>
      <c r="B16" s="179">
        <v>2</v>
      </c>
      <c r="C16" s="179">
        <v>3</v>
      </c>
      <c r="D16" s="179">
        <v>4</v>
      </c>
      <c r="E16" s="190">
        <v>5</v>
      </c>
      <c r="F16" s="190">
        <v>6</v>
      </c>
      <c r="G16" s="190">
        <v>7</v>
      </c>
      <c r="H16" s="190">
        <v>8</v>
      </c>
      <c r="I16" s="190">
        <v>9</v>
      </c>
      <c r="J16" s="190">
        <v>10</v>
      </c>
      <c r="K16" s="190">
        <v>11</v>
      </c>
      <c r="L16" s="188"/>
    </row>
    <row r="17" spans="1:11" ht="17.25">
      <c r="A17" s="191">
        <v>1</v>
      </c>
      <c r="B17" s="191">
        <v>1</v>
      </c>
      <c r="C17" s="191">
        <v>1</v>
      </c>
      <c r="D17" s="191">
        <v>1</v>
      </c>
      <c r="E17" s="192">
        <v>1161</v>
      </c>
      <c r="F17" s="193" t="s">
        <v>201</v>
      </c>
      <c r="G17" s="128"/>
      <c r="H17" s="128"/>
      <c r="I17" s="128"/>
      <c r="J17" s="128"/>
      <c r="K17" s="128"/>
    </row>
    <row r="18" spans="1:11" ht="30" customHeight="1">
      <c r="A18" s="1001"/>
      <c r="B18" s="1001"/>
      <c r="C18" s="1001"/>
      <c r="D18" s="1001"/>
      <c r="E18" s="1008"/>
      <c r="F18" s="202" t="s">
        <v>815</v>
      </c>
      <c r="G18" s="186"/>
      <c r="H18" s="186"/>
      <c r="I18" s="186"/>
      <c r="J18" s="186"/>
      <c r="K18" s="186"/>
    </row>
    <row r="19" spans="1:12" ht="31.5" customHeight="1">
      <c r="A19" s="1001"/>
      <c r="B19" s="1001"/>
      <c r="C19" s="1001"/>
      <c r="D19" s="1001"/>
      <c r="E19" s="1009"/>
      <c r="F19" s="184" t="s">
        <v>222</v>
      </c>
      <c r="G19" s="181">
        <f>G22+G24+G26</f>
        <v>1025589.9799999999</v>
      </c>
      <c r="H19" s="181">
        <f>H22+H24+H26+H27</f>
        <v>1193033.4</v>
      </c>
      <c r="I19" s="938">
        <f>I22+I24+I26</f>
        <v>1048116.373607066</v>
      </c>
      <c r="J19" s="938">
        <f>J22+J24+J26</f>
        <v>1047906.7635133334</v>
      </c>
      <c r="K19" s="938">
        <f>K22+K24+K26</f>
        <v>1057850.655406667</v>
      </c>
      <c r="L19" s="195"/>
    </row>
    <row r="20" spans="1:11" ht="24" customHeight="1">
      <c r="A20" s="1001"/>
      <c r="B20" s="1001"/>
      <c r="C20" s="1001"/>
      <c r="D20" s="1001"/>
      <c r="E20" s="1010"/>
      <c r="F20" s="203" t="s">
        <v>201</v>
      </c>
      <c r="G20" s="181"/>
      <c r="H20" s="181"/>
      <c r="I20" s="200"/>
      <c r="J20" s="200"/>
      <c r="K20" s="200"/>
    </row>
    <row r="21" spans="1:13" ht="46.5" customHeight="1">
      <c r="A21" s="1001"/>
      <c r="B21" s="1001"/>
      <c r="C21" s="1001"/>
      <c r="D21" s="1001"/>
      <c r="E21" s="1003">
        <v>11001</v>
      </c>
      <c r="F21" s="202" t="s">
        <v>813</v>
      </c>
      <c r="G21" s="186"/>
      <c r="H21" s="186"/>
      <c r="I21" s="201"/>
      <c r="J21" s="201"/>
      <c r="K21" s="201"/>
      <c r="M21" s="195"/>
    </row>
    <row r="22" spans="1:13" ht="44.25" customHeight="1">
      <c r="A22" s="1001"/>
      <c r="B22" s="1001"/>
      <c r="C22" s="1001"/>
      <c r="D22" s="1001"/>
      <c r="E22" s="1004"/>
      <c r="F22" s="184" t="s">
        <v>224</v>
      </c>
      <c r="G22" s="204">
        <f>'2-ԸՆԴԱՄԵՆԸ ԾԱԽՍԵՐ'!E16</f>
        <v>1019078.1299999999</v>
      </c>
      <c r="H22" s="181">
        <v>1056063.7</v>
      </c>
      <c r="I22" s="938">
        <f>'2-ԸՆԴԱՄԵՆԸ ԾԱԽՍԵՐ'!G16</f>
        <v>1026570.173607066</v>
      </c>
      <c r="J22" s="938">
        <f>'2-ԸՆԴԱՄԵՆԸ ԾԱԽՍԵՐ'!K16</f>
        <v>1027583.2635133334</v>
      </c>
      <c r="K22" s="938">
        <f>'2-ԸՆԴԱՄԵՆԸ ԾԱԽՍԵՐ'!L16</f>
        <v>1038236.455406667</v>
      </c>
      <c r="L22" s="195"/>
      <c r="M22" s="195"/>
    </row>
    <row r="23" spans="1:13" ht="31.5" customHeight="1">
      <c r="A23" s="1001"/>
      <c r="B23" s="1001"/>
      <c r="C23" s="1001"/>
      <c r="D23" s="1001"/>
      <c r="E23" s="194">
        <v>11002</v>
      </c>
      <c r="F23" s="184" t="s">
        <v>814</v>
      </c>
      <c r="G23" s="186"/>
      <c r="H23" s="186"/>
      <c r="I23" s="201"/>
      <c r="J23" s="201"/>
      <c r="K23" s="201"/>
      <c r="M23" s="195"/>
    </row>
    <row r="24" spans="1:17" ht="31.5" customHeight="1">
      <c r="A24" s="1001"/>
      <c r="B24" s="1001"/>
      <c r="C24" s="1001"/>
      <c r="D24" s="1001"/>
      <c r="E24" s="194"/>
      <c r="F24" s="180"/>
      <c r="G24" s="181">
        <v>4435.85</v>
      </c>
      <c r="H24" s="181">
        <v>22038.1</v>
      </c>
      <c r="I24" s="938">
        <v>19431.2</v>
      </c>
      <c r="J24" s="938">
        <v>19423.5</v>
      </c>
      <c r="K24" s="938">
        <v>19614.2</v>
      </c>
      <c r="L24" s="195"/>
      <c r="M24" s="195"/>
      <c r="N24" s="195"/>
      <c r="O24" s="195"/>
      <c r="P24" s="195"/>
      <c r="Q24" s="195"/>
    </row>
    <row r="25" spans="1:11" ht="31.5" customHeight="1">
      <c r="A25" s="1001"/>
      <c r="B25" s="1001"/>
      <c r="C25" s="1001"/>
      <c r="D25" s="1001"/>
      <c r="E25" s="1003">
        <v>31001</v>
      </c>
      <c r="F25" s="196" t="s">
        <v>202</v>
      </c>
      <c r="G25" s="186"/>
      <c r="H25" s="186"/>
      <c r="I25" s="201"/>
      <c r="J25" s="201"/>
      <c r="K25" s="201"/>
    </row>
    <row r="26" spans="1:11" ht="47.25" customHeight="1">
      <c r="A26" s="1001"/>
      <c r="B26" s="1001"/>
      <c r="C26" s="1001"/>
      <c r="D26" s="1001"/>
      <c r="E26" s="1004"/>
      <c r="F26" s="199" t="s">
        <v>860</v>
      </c>
      <c r="G26" s="181">
        <f>'2-ԸՆԴԱՄԵՆԸ ԾԱԽՍԵՐ'!E89</f>
        <v>2076</v>
      </c>
      <c r="H26" s="181">
        <v>31248.2</v>
      </c>
      <c r="I26" s="938">
        <f>'2-ԸՆԴԱՄԵՆԸ ԾԱԽՍԵՐ'!G89</f>
        <v>2115</v>
      </c>
      <c r="J26" s="938">
        <f>'2-ԸՆԴԱՄԵՆԸ ԾԱԽՍԵՐ'!K89</f>
        <v>900</v>
      </c>
      <c r="K26" s="938">
        <f>'2-ԸՆԴԱՄԵՆԸ ԾԱԽՍԵՐ'!L89</f>
        <v>0</v>
      </c>
    </row>
    <row r="27" spans="1:11" ht="49.5">
      <c r="A27" s="1001"/>
      <c r="B27" s="1001"/>
      <c r="C27" s="1001"/>
      <c r="D27" s="1001"/>
      <c r="E27" s="1014">
        <v>31002</v>
      </c>
      <c r="F27" s="199" t="s">
        <v>861</v>
      </c>
      <c r="G27" s="198"/>
      <c r="H27" s="198">
        <v>83683.4</v>
      </c>
      <c r="I27" s="198"/>
      <c r="J27" s="198"/>
      <c r="K27" s="198"/>
    </row>
    <row r="28" spans="1:11" ht="17.25">
      <c r="A28" s="1001"/>
      <c r="B28" s="1001"/>
      <c r="C28" s="1001"/>
      <c r="D28" s="1001"/>
      <c r="E28" s="1015"/>
      <c r="F28" s="197"/>
      <c r="G28" s="198"/>
      <c r="H28" s="198"/>
      <c r="I28" s="198"/>
      <c r="J28" s="198"/>
      <c r="K28" s="198"/>
    </row>
    <row r="29" spans="1:11" ht="17.25">
      <c r="A29" s="1001"/>
      <c r="B29" s="1001"/>
      <c r="C29" s="1001"/>
      <c r="D29" s="1001"/>
      <c r="E29" s="1015"/>
      <c r="F29" s="197"/>
      <c r="G29" s="198"/>
      <c r="H29" s="198"/>
      <c r="I29" s="198"/>
      <c r="J29" s="198"/>
      <c r="K29" s="198"/>
    </row>
    <row r="30" spans="1:11" ht="17.25">
      <c r="A30" s="1002"/>
      <c r="B30" s="1002"/>
      <c r="C30" s="1002"/>
      <c r="D30" s="1002"/>
      <c r="E30" s="1016"/>
      <c r="F30" s="197"/>
      <c r="G30" s="198"/>
      <c r="H30" s="198"/>
      <c r="I30" s="198"/>
      <c r="J30" s="198"/>
      <c r="K30" s="198"/>
    </row>
  </sheetData>
  <sheetProtection/>
  <mergeCells count="23">
    <mergeCell ref="J1:M3"/>
    <mergeCell ref="A11:F11"/>
    <mergeCell ref="F14:F15"/>
    <mergeCell ref="C18:C30"/>
    <mergeCell ref="E27:E30"/>
    <mergeCell ref="K14:K15"/>
    <mergeCell ref="H14:H15"/>
    <mergeCell ref="B14:B15"/>
    <mergeCell ref="D18:D30"/>
    <mergeCell ref="A3:D3"/>
    <mergeCell ref="A5:G5"/>
    <mergeCell ref="C14:C15"/>
    <mergeCell ref="E18:E20"/>
    <mergeCell ref="D14:E14"/>
    <mergeCell ref="A18:A30"/>
    <mergeCell ref="A9:G9"/>
    <mergeCell ref="A14:A15"/>
    <mergeCell ref="G14:G15"/>
    <mergeCell ref="B18:B30"/>
    <mergeCell ref="E21:E22"/>
    <mergeCell ref="J14:J15"/>
    <mergeCell ref="E25:E26"/>
    <mergeCell ref="I14:I15"/>
  </mergeCells>
  <printOptions/>
  <pageMargins left="0.17" right="0.17" top="1" bottom="1" header="0.26" footer="0.5"/>
  <pageSetup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79"/>
  <sheetViews>
    <sheetView zoomScalePageLayoutView="0" workbookViewId="0" topLeftCell="C7">
      <selection activeCell="J21" sqref="J2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3" width="25.00390625" style="0" customWidth="1"/>
    <col min="4" max="4" width="8.421875" style="0" customWidth="1"/>
    <col min="5" max="5" width="13.00390625" style="0" customWidth="1"/>
    <col min="6" max="6" width="8.00390625" style="0" customWidth="1"/>
    <col min="7" max="7" width="15.8515625" style="0" customWidth="1"/>
    <col min="8" max="8" width="11.7109375" style="0" customWidth="1"/>
    <col min="9" max="9" width="12.7109375" style="0" customWidth="1"/>
    <col min="10" max="10" width="20.28125" style="0" customWidth="1"/>
    <col min="11" max="11" width="14.421875" style="0" customWidth="1"/>
    <col min="12" max="13" width="15.421875" style="0" customWidth="1"/>
    <col min="14" max="14" width="12.421875" style="0" customWidth="1"/>
    <col min="15" max="15" width="12.7109375" style="0" customWidth="1"/>
    <col min="16" max="17" width="12.00390625" style="0" customWidth="1"/>
    <col min="18" max="18" width="13.28125" style="0" customWidth="1"/>
    <col min="19" max="20" width="15.00390625" style="0" customWidth="1"/>
    <col min="21" max="21" width="15.00390625" style="386" customWidth="1"/>
    <col min="22" max="22" width="20.28125" style="0" customWidth="1"/>
    <col min="23" max="23" width="43.00390625" style="0" customWidth="1"/>
  </cols>
  <sheetData>
    <row r="2" spans="1:13" ht="13.5">
      <c r="A2" s="387"/>
      <c r="B2" s="388"/>
      <c r="C2" s="388"/>
      <c r="D2" s="388"/>
      <c r="E2" s="388"/>
      <c r="F2" s="388"/>
      <c r="G2" s="388"/>
      <c r="H2" s="389"/>
      <c r="I2" s="390"/>
      <c r="K2" s="10"/>
      <c r="L2" s="28" t="s">
        <v>97</v>
      </c>
      <c r="M2" s="28"/>
    </row>
    <row r="3" spans="1:13" ht="13.5">
      <c r="A3" s="387"/>
      <c r="B3" s="388"/>
      <c r="C3" s="388"/>
      <c r="D3" s="388"/>
      <c r="E3" s="388"/>
      <c r="F3" s="388"/>
      <c r="G3" s="388"/>
      <c r="H3" s="389"/>
      <c r="I3" s="390"/>
      <c r="K3" s="1060" t="s">
        <v>9</v>
      </c>
      <c r="L3" s="1060"/>
      <c r="M3" s="1060"/>
    </row>
    <row r="4" spans="1:13" ht="14.25" thickBot="1">
      <c r="A4" s="10"/>
      <c r="B4" s="391"/>
      <c r="C4" s="392"/>
      <c r="D4" s="392"/>
      <c r="E4" s="392"/>
      <c r="F4" s="392"/>
      <c r="G4" s="392"/>
      <c r="H4" s="393"/>
      <c r="I4" s="394"/>
      <c r="K4" s="11"/>
      <c r="L4" s="11"/>
      <c r="M4" s="11"/>
    </row>
    <row r="5" spans="1:13" ht="13.5">
      <c r="A5" s="10"/>
      <c r="B5" s="395" t="s">
        <v>1106</v>
      </c>
      <c r="C5" s="395"/>
      <c r="D5" s="395"/>
      <c r="E5" s="395"/>
      <c r="F5" s="3"/>
      <c r="G5" s="3"/>
      <c r="H5" s="3"/>
      <c r="I5" s="3"/>
      <c r="K5" s="3"/>
      <c r="L5" s="3"/>
      <c r="M5" s="3"/>
    </row>
    <row r="6" spans="1:13" ht="13.5">
      <c r="A6" s="10"/>
      <c r="B6" s="396"/>
      <c r="C6" s="396"/>
      <c r="D6" s="396"/>
      <c r="E6" s="396"/>
      <c r="F6" s="3"/>
      <c r="G6" s="3"/>
      <c r="H6" s="3"/>
      <c r="I6" s="3"/>
      <c r="K6" s="3"/>
      <c r="L6" s="3"/>
      <c r="M6" s="3"/>
    </row>
    <row r="7" spans="1:13" ht="14.25">
      <c r="A7" s="41" t="s">
        <v>98</v>
      </c>
      <c r="B7" s="41"/>
      <c r="C7" s="41"/>
      <c r="D7" s="41"/>
      <c r="E7" s="41"/>
      <c r="F7" s="3"/>
      <c r="G7" s="3"/>
      <c r="H7" s="3"/>
      <c r="I7" s="3"/>
      <c r="K7" s="3"/>
      <c r="L7" s="3"/>
      <c r="M7" s="3"/>
    </row>
    <row r="8" spans="1:13" ht="14.25">
      <c r="A8" s="41" t="s">
        <v>986</v>
      </c>
      <c r="B8" s="41"/>
      <c r="C8" s="41"/>
      <c r="D8" s="41"/>
      <c r="E8" s="41"/>
      <c r="F8" s="3"/>
      <c r="G8" s="3"/>
      <c r="H8" s="3"/>
      <c r="I8" s="3"/>
      <c r="K8" s="3"/>
      <c r="L8" s="3"/>
      <c r="M8" s="3"/>
    </row>
    <row r="9" spans="1:13" ht="15" thickBot="1">
      <c r="A9" s="41"/>
      <c r="B9" s="397"/>
      <c r="C9" s="41"/>
      <c r="D9" s="41"/>
      <c r="E9" s="41"/>
      <c r="F9" s="3"/>
      <c r="G9" s="3"/>
      <c r="H9" s="3"/>
      <c r="I9" s="3"/>
      <c r="K9" s="3"/>
      <c r="L9" s="3"/>
      <c r="M9" s="3"/>
    </row>
    <row r="10" spans="2:13" ht="15" thickBot="1">
      <c r="B10" s="398" t="s">
        <v>987</v>
      </c>
      <c r="C10" s="398"/>
      <c r="D10" s="398"/>
      <c r="E10" s="399">
        <v>9</v>
      </c>
      <c r="F10" s="3"/>
      <c r="G10" s="3"/>
      <c r="H10" s="3"/>
      <c r="I10" s="3"/>
      <c r="K10" s="3"/>
      <c r="L10" s="3"/>
      <c r="M10" s="3"/>
    </row>
    <row r="11" spans="2:15" ht="15" thickBot="1">
      <c r="B11" s="400"/>
      <c r="C11" s="401"/>
      <c r="D11" s="401"/>
      <c r="E11" s="41"/>
      <c r="F11" s="3"/>
      <c r="G11" s="3"/>
      <c r="H11" s="3"/>
      <c r="I11" s="3"/>
      <c r="K11" s="3"/>
      <c r="L11" s="3"/>
      <c r="M11" s="3"/>
      <c r="O11" s="443"/>
    </row>
    <row r="12" spans="2:15" ht="15" thickBot="1">
      <c r="B12" s="398" t="s">
        <v>324</v>
      </c>
      <c r="C12" s="398"/>
      <c r="D12" s="398"/>
      <c r="E12" s="399">
        <v>9</v>
      </c>
      <c r="F12" s="3"/>
      <c r="G12" s="3"/>
      <c r="H12" s="3"/>
      <c r="I12" s="3"/>
      <c r="K12" s="3"/>
      <c r="L12" s="3"/>
      <c r="M12" s="3"/>
      <c r="O12" s="440"/>
    </row>
    <row r="13" spans="2:13" ht="14.25" thickBot="1">
      <c r="B13" s="3"/>
      <c r="C13" s="3"/>
      <c r="D13" s="3"/>
      <c r="E13" s="3"/>
      <c r="F13" s="3"/>
      <c r="G13" s="3"/>
      <c r="H13" s="3"/>
      <c r="I13" s="3"/>
      <c r="K13" s="3"/>
      <c r="L13" s="3"/>
      <c r="M13" s="3"/>
    </row>
    <row r="14" spans="1:23" ht="57.75" customHeight="1" thickBot="1">
      <c r="A14" s="402"/>
      <c r="B14" s="403"/>
      <c r="C14" s="1109" t="s">
        <v>306</v>
      </c>
      <c r="D14" s="1110"/>
      <c r="E14" s="1110"/>
      <c r="F14" s="1110"/>
      <c r="G14" s="1110"/>
      <c r="H14" s="1110"/>
      <c r="I14" s="1111"/>
      <c r="J14" s="1112" t="s">
        <v>988</v>
      </c>
      <c r="K14" s="1114" t="s">
        <v>989</v>
      </c>
      <c r="L14" s="1115"/>
      <c r="M14" s="1115"/>
      <c r="N14" s="1116"/>
      <c r="O14" s="1104" t="s">
        <v>990</v>
      </c>
      <c r="P14" s="1105"/>
      <c r="Q14" s="1105"/>
      <c r="R14" s="1106"/>
      <c r="S14" s="1104" t="s">
        <v>991</v>
      </c>
      <c r="T14" s="1105"/>
      <c r="U14" s="1105"/>
      <c r="V14" s="1106"/>
      <c r="W14" s="1107" t="s">
        <v>992</v>
      </c>
    </row>
    <row r="15" spans="1:23" ht="81.75" thickBot="1">
      <c r="A15" s="404" t="s">
        <v>63</v>
      </c>
      <c r="B15" s="404" t="s">
        <v>993</v>
      </c>
      <c r="C15" s="405" t="s">
        <v>994</v>
      </c>
      <c r="D15" s="405" t="s">
        <v>995</v>
      </c>
      <c r="E15" s="405" t="s">
        <v>996</v>
      </c>
      <c r="F15" s="405" t="s">
        <v>997</v>
      </c>
      <c r="G15" s="405" t="s">
        <v>998</v>
      </c>
      <c r="H15" s="406" t="s">
        <v>999</v>
      </c>
      <c r="I15" s="407" t="s">
        <v>1000</v>
      </c>
      <c r="J15" s="1113"/>
      <c r="K15" s="407" t="s">
        <v>1001</v>
      </c>
      <c r="L15" s="407" t="s">
        <v>1002</v>
      </c>
      <c r="M15" s="408" t="s">
        <v>1003</v>
      </c>
      <c r="N15" s="407" t="s">
        <v>1004</v>
      </c>
      <c r="O15" s="405" t="s">
        <v>995</v>
      </c>
      <c r="P15" s="405" t="s">
        <v>996</v>
      </c>
      <c r="Q15" s="405" t="s">
        <v>997</v>
      </c>
      <c r="R15" s="409" t="s">
        <v>1005</v>
      </c>
      <c r="S15" s="405" t="s">
        <v>995</v>
      </c>
      <c r="T15" s="405" t="s">
        <v>996</v>
      </c>
      <c r="U15" s="405" t="s">
        <v>997</v>
      </c>
      <c r="V15" s="410" t="s">
        <v>1005</v>
      </c>
      <c r="W15" s="1108"/>
    </row>
    <row r="16" spans="1:23" ht="13.5">
      <c r="A16" s="411">
        <v>1</v>
      </c>
      <c r="B16" s="411">
        <v>2</v>
      </c>
      <c r="C16" s="411">
        <v>3</v>
      </c>
      <c r="D16" s="411">
        <v>4</v>
      </c>
      <c r="E16" s="411">
        <v>5</v>
      </c>
      <c r="F16" s="411">
        <v>6</v>
      </c>
      <c r="G16" s="411">
        <v>7</v>
      </c>
      <c r="H16" s="411">
        <v>8</v>
      </c>
      <c r="I16" s="411">
        <v>9</v>
      </c>
      <c r="J16" s="411">
        <v>10</v>
      </c>
      <c r="K16" s="411">
        <v>11</v>
      </c>
      <c r="L16" s="411">
        <v>12</v>
      </c>
      <c r="M16" s="411">
        <v>13</v>
      </c>
      <c r="N16" s="411">
        <v>14</v>
      </c>
      <c r="O16" s="411">
        <v>15</v>
      </c>
      <c r="P16" s="411">
        <v>16</v>
      </c>
      <c r="Q16" s="411">
        <v>17</v>
      </c>
      <c r="R16" s="411">
        <v>18</v>
      </c>
      <c r="S16" s="411">
        <v>19</v>
      </c>
      <c r="T16" s="411">
        <v>20</v>
      </c>
      <c r="U16" s="411">
        <v>21</v>
      </c>
      <c r="V16" s="411">
        <v>22</v>
      </c>
      <c r="W16" s="411">
        <v>23</v>
      </c>
    </row>
    <row r="17" spans="1:23" ht="17.25" hidden="1">
      <c r="A17" s="32"/>
      <c r="B17" s="412"/>
      <c r="C17" s="34"/>
      <c r="D17" s="34"/>
      <c r="E17" s="34"/>
      <c r="F17" s="34"/>
      <c r="G17" s="34"/>
      <c r="H17" s="34"/>
      <c r="I17" s="413">
        <v>2025</v>
      </c>
      <c r="J17" s="41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spans="1:23" ht="93" customHeight="1">
      <c r="A18" s="415"/>
      <c r="B18" s="416" t="s">
        <v>1006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</row>
    <row r="19" spans="1:23" ht="48.75" customHeight="1">
      <c r="A19" s="417">
        <v>1</v>
      </c>
      <c r="B19" s="418" t="s">
        <v>698</v>
      </c>
      <c r="C19" s="418" t="s">
        <v>1042</v>
      </c>
      <c r="D19" s="418" t="s">
        <v>1020</v>
      </c>
      <c r="E19" s="418" t="s">
        <v>1021</v>
      </c>
      <c r="F19" s="418" t="s">
        <v>1030</v>
      </c>
      <c r="G19" s="418" t="s">
        <v>1023</v>
      </c>
      <c r="H19" s="418">
        <v>2018</v>
      </c>
      <c r="I19" s="419">
        <f>10-($I$17-H19)</f>
        <v>3</v>
      </c>
      <c r="J19" s="420" t="s">
        <v>1038</v>
      </c>
      <c r="K19" s="441">
        <v>937.333</v>
      </c>
      <c r="L19" s="441">
        <v>250</v>
      </c>
      <c r="M19" s="441">
        <v>12.224</v>
      </c>
      <c r="N19" s="442">
        <f aca="true" t="shared" si="0" ref="N19:N27">(SUM(K19:M19))/1000</f>
        <v>1.199557</v>
      </c>
      <c r="O19" s="418"/>
      <c r="P19" s="418"/>
      <c r="Q19" s="418"/>
      <c r="R19" s="418"/>
      <c r="S19" s="418"/>
      <c r="T19" s="418"/>
      <c r="U19" s="418"/>
      <c r="V19" s="418"/>
      <c r="W19" s="418"/>
    </row>
    <row r="20" spans="1:23" ht="50.25" customHeight="1">
      <c r="A20" s="417">
        <v>2</v>
      </c>
      <c r="B20" s="438" t="s">
        <v>699</v>
      </c>
      <c r="C20" s="418" t="s">
        <v>1043</v>
      </c>
      <c r="D20" s="418" t="s">
        <v>1020</v>
      </c>
      <c r="E20" s="418" t="s">
        <v>1021</v>
      </c>
      <c r="F20" s="418" t="s">
        <v>1030</v>
      </c>
      <c r="G20" s="418" t="s">
        <v>1023</v>
      </c>
      <c r="H20" s="418">
        <v>2013</v>
      </c>
      <c r="I20" s="419">
        <f aca="true" t="shared" si="1" ref="I20:I27">10-($I$17-H20)</f>
        <v>-2</v>
      </c>
      <c r="J20" s="420" t="s">
        <v>1039</v>
      </c>
      <c r="K20" s="441">
        <v>937.333</v>
      </c>
      <c r="L20" s="441">
        <v>250</v>
      </c>
      <c r="M20" s="441">
        <v>12.222</v>
      </c>
      <c r="N20" s="442">
        <f t="shared" si="0"/>
        <v>1.1995550000000001</v>
      </c>
      <c r="O20" s="418" t="s">
        <v>1020</v>
      </c>
      <c r="P20" s="418" t="s">
        <v>1021</v>
      </c>
      <c r="Q20" s="418" t="s">
        <v>1026</v>
      </c>
      <c r="R20" s="444">
        <v>16833.4</v>
      </c>
      <c r="S20" s="418"/>
      <c r="T20" s="418"/>
      <c r="U20" s="418"/>
      <c r="V20" s="418"/>
      <c r="W20" s="418"/>
    </row>
    <row r="21" spans="1:23" ht="45" customHeight="1">
      <c r="A21" s="417">
        <v>3</v>
      </c>
      <c r="B21" s="438" t="s">
        <v>699</v>
      </c>
      <c r="C21" s="418" t="s">
        <v>1044</v>
      </c>
      <c r="D21" s="418" t="s">
        <v>1020</v>
      </c>
      <c r="E21" s="418" t="s">
        <v>1021</v>
      </c>
      <c r="F21" s="418" t="s">
        <v>1030</v>
      </c>
      <c r="G21" s="418" t="s">
        <v>1023</v>
      </c>
      <c r="H21" s="418">
        <v>2007</v>
      </c>
      <c r="I21" s="419">
        <f t="shared" si="1"/>
        <v>-8</v>
      </c>
      <c r="J21" s="420" t="s">
        <v>1039</v>
      </c>
      <c r="K21" s="441">
        <v>937.333</v>
      </c>
      <c r="L21" s="441">
        <v>250</v>
      </c>
      <c r="M21" s="441">
        <v>12.222</v>
      </c>
      <c r="N21" s="442">
        <f t="shared" si="0"/>
        <v>1.1995550000000001</v>
      </c>
      <c r="O21" s="418" t="s">
        <v>1020</v>
      </c>
      <c r="P21" s="418" t="s">
        <v>1021</v>
      </c>
      <c r="Q21" s="418" t="s">
        <v>1022</v>
      </c>
      <c r="R21" s="444">
        <v>13370</v>
      </c>
      <c r="S21" s="418"/>
      <c r="T21" s="418"/>
      <c r="U21" s="418"/>
      <c r="V21" s="418"/>
      <c r="W21" s="418"/>
    </row>
    <row r="22" spans="1:23" ht="44.25" customHeight="1">
      <c r="A22" s="417">
        <v>4</v>
      </c>
      <c r="B22" s="438" t="s">
        <v>699</v>
      </c>
      <c r="C22" s="418" t="s">
        <v>1045</v>
      </c>
      <c r="D22" s="418" t="s">
        <v>1020</v>
      </c>
      <c r="E22" s="418" t="s">
        <v>1021</v>
      </c>
      <c r="F22" s="418"/>
      <c r="G22" s="418" t="s">
        <v>1023</v>
      </c>
      <c r="H22" s="418">
        <v>2013</v>
      </c>
      <c r="I22" s="419">
        <f t="shared" si="1"/>
        <v>-2</v>
      </c>
      <c r="J22" s="420" t="s">
        <v>1039</v>
      </c>
      <c r="K22" s="441">
        <v>937.333</v>
      </c>
      <c r="L22" s="441">
        <v>250</v>
      </c>
      <c r="M22" s="441">
        <v>12.222</v>
      </c>
      <c r="N22" s="442">
        <f t="shared" si="0"/>
        <v>1.1995550000000001</v>
      </c>
      <c r="O22" s="418" t="s">
        <v>1020</v>
      </c>
      <c r="P22" s="418" t="s">
        <v>1021</v>
      </c>
      <c r="Q22" s="418" t="s">
        <v>1022</v>
      </c>
      <c r="R22" s="444">
        <v>13370</v>
      </c>
      <c r="S22" s="418"/>
      <c r="T22" s="418"/>
      <c r="U22" s="418"/>
      <c r="V22" s="418"/>
      <c r="W22" s="418"/>
    </row>
    <row r="23" spans="1:23" ht="45.75" customHeight="1">
      <c r="A23" s="417">
        <v>5</v>
      </c>
      <c r="B23" s="438" t="s">
        <v>699</v>
      </c>
      <c r="C23" s="418" t="s">
        <v>1046</v>
      </c>
      <c r="D23" s="418" t="s">
        <v>1020</v>
      </c>
      <c r="E23" s="418" t="s">
        <v>1021</v>
      </c>
      <c r="F23" s="418" t="s">
        <v>1022</v>
      </c>
      <c r="G23" s="418" t="s">
        <v>1023</v>
      </c>
      <c r="H23" s="418">
        <v>2013</v>
      </c>
      <c r="I23" s="419">
        <f t="shared" si="1"/>
        <v>-2</v>
      </c>
      <c r="J23" s="420" t="s">
        <v>1039</v>
      </c>
      <c r="K23" s="441">
        <v>937.333</v>
      </c>
      <c r="L23" s="441">
        <v>250</v>
      </c>
      <c r="M23" s="441">
        <v>12.222</v>
      </c>
      <c r="N23" s="442">
        <f t="shared" si="0"/>
        <v>1.1995550000000001</v>
      </c>
      <c r="O23" s="418"/>
      <c r="P23" s="418" t="s">
        <v>1021</v>
      </c>
      <c r="Q23" s="418" t="s">
        <v>1022</v>
      </c>
      <c r="R23" s="444">
        <v>13370</v>
      </c>
      <c r="S23" s="418"/>
      <c r="T23" s="418"/>
      <c r="U23" s="418"/>
      <c r="V23" s="418"/>
      <c r="W23" s="418"/>
    </row>
    <row r="24" spans="1:23" ht="43.5" customHeight="1">
      <c r="A24" s="417">
        <v>6</v>
      </c>
      <c r="B24" s="438" t="s">
        <v>699</v>
      </c>
      <c r="C24" s="418" t="s">
        <v>1047</v>
      </c>
      <c r="D24" s="418" t="s">
        <v>1020</v>
      </c>
      <c r="E24" s="418" t="s">
        <v>1021</v>
      </c>
      <c r="F24" s="418" t="s">
        <v>1022</v>
      </c>
      <c r="G24" s="418" t="s">
        <v>1023</v>
      </c>
      <c r="H24" s="418">
        <v>2017</v>
      </c>
      <c r="I24" s="419">
        <f t="shared" si="1"/>
        <v>2</v>
      </c>
      <c r="J24" s="420" t="s">
        <v>1038</v>
      </c>
      <c r="K24" s="441">
        <v>937.333</v>
      </c>
      <c r="L24" s="441">
        <v>250</v>
      </c>
      <c r="M24" s="441">
        <v>12.222</v>
      </c>
      <c r="N24" s="442">
        <f t="shared" si="0"/>
        <v>1.1995550000000001</v>
      </c>
      <c r="O24" s="418"/>
      <c r="P24" s="418"/>
      <c r="Q24" s="418"/>
      <c r="R24" s="418"/>
      <c r="S24" s="418"/>
      <c r="T24" s="418"/>
      <c r="U24" s="418"/>
      <c r="V24" s="418"/>
      <c r="W24" s="418"/>
    </row>
    <row r="25" spans="1:23" ht="60" customHeight="1">
      <c r="A25" s="417">
        <v>7</v>
      </c>
      <c r="B25" s="438" t="s">
        <v>699</v>
      </c>
      <c r="C25" s="418" t="s">
        <v>1048</v>
      </c>
      <c r="D25" s="418" t="s">
        <v>1020</v>
      </c>
      <c r="E25" s="418" t="s">
        <v>1021</v>
      </c>
      <c r="F25" s="418" t="s">
        <v>1022</v>
      </c>
      <c r="G25" s="418" t="s">
        <v>1023</v>
      </c>
      <c r="H25" s="418">
        <v>2017</v>
      </c>
      <c r="I25" s="419">
        <f t="shared" si="1"/>
        <v>2</v>
      </c>
      <c r="J25" s="420" t="s">
        <v>1038</v>
      </c>
      <c r="K25" s="441">
        <v>937.333</v>
      </c>
      <c r="L25" s="441">
        <v>250</v>
      </c>
      <c r="M25" s="441">
        <v>12.222</v>
      </c>
      <c r="N25" s="442">
        <f t="shared" si="0"/>
        <v>1.1995550000000001</v>
      </c>
      <c r="O25" s="418"/>
      <c r="P25" s="418"/>
      <c r="Q25" s="418"/>
      <c r="R25" s="418"/>
      <c r="S25" s="418"/>
      <c r="T25" s="418"/>
      <c r="U25" s="418"/>
      <c r="V25" s="418"/>
      <c r="W25" s="418"/>
    </row>
    <row r="26" spans="1:23" ht="48" customHeight="1">
      <c r="A26" s="417">
        <v>8</v>
      </c>
      <c r="B26" s="438" t="s">
        <v>205</v>
      </c>
      <c r="C26" s="418" t="s">
        <v>1049</v>
      </c>
      <c r="D26" s="418" t="s">
        <v>1024</v>
      </c>
      <c r="E26" s="418" t="s">
        <v>1021</v>
      </c>
      <c r="F26" s="418" t="s">
        <v>1026</v>
      </c>
      <c r="G26" s="418" t="s">
        <v>1023</v>
      </c>
      <c r="H26" s="418">
        <v>2013</v>
      </c>
      <c r="I26" s="419">
        <f t="shared" si="1"/>
        <v>-2</v>
      </c>
      <c r="J26" s="420" t="s">
        <v>1039</v>
      </c>
      <c r="K26" s="441">
        <v>937.333</v>
      </c>
      <c r="L26" s="441">
        <v>250</v>
      </c>
      <c r="M26" s="441">
        <v>12.222</v>
      </c>
      <c r="N26" s="442">
        <f t="shared" si="0"/>
        <v>1.1995550000000001</v>
      </c>
      <c r="O26" s="418" t="s">
        <v>1020</v>
      </c>
      <c r="P26" s="418" t="s">
        <v>1021</v>
      </c>
      <c r="Q26" s="418" t="s">
        <v>1022</v>
      </c>
      <c r="R26" s="444">
        <v>13370</v>
      </c>
      <c r="S26" s="418"/>
      <c r="T26" s="418"/>
      <c r="U26" s="418"/>
      <c r="V26" s="418"/>
      <c r="W26" s="418"/>
    </row>
    <row r="27" spans="1:23" ht="50.25" customHeight="1">
      <c r="A27" s="417">
        <v>9</v>
      </c>
      <c r="B27" s="438" t="s">
        <v>1050</v>
      </c>
      <c r="C27" s="418" t="s">
        <v>1051</v>
      </c>
      <c r="D27" s="418" t="s">
        <v>1020</v>
      </c>
      <c r="E27" s="418" t="s">
        <v>1021</v>
      </c>
      <c r="F27" s="418" t="s">
        <v>1022</v>
      </c>
      <c r="G27" s="418" t="s">
        <v>1023</v>
      </c>
      <c r="H27" s="418">
        <v>2008</v>
      </c>
      <c r="I27" s="419">
        <f t="shared" si="1"/>
        <v>-7</v>
      </c>
      <c r="J27" s="420" t="s">
        <v>1039</v>
      </c>
      <c r="K27" s="441">
        <v>937.333</v>
      </c>
      <c r="L27" s="441">
        <v>250</v>
      </c>
      <c r="M27" s="441">
        <v>12.222</v>
      </c>
      <c r="N27" s="442">
        <f t="shared" si="0"/>
        <v>1.1995550000000001</v>
      </c>
      <c r="O27" s="418" t="s">
        <v>1020</v>
      </c>
      <c r="P27" s="418" t="s">
        <v>1021</v>
      </c>
      <c r="Q27" s="418" t="s">
        <v>1022</v>
      </c>
      <c r="R27" s="444">
        <v>13370</v>
      </c>
      <c r="S27" s="418"/>
      <c r="T27" s="418"/>
      <c r="U27" s="418"/>
      <c r="V27" s="418"/>
      <c r="W27" s="418"/>
    </row>
    <row r="28" spans="1:23" ht="15.75">
      <c r="A28" s="415"/>
      <c r="B28" s="439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</row>
    <row r="29" spans="1:23" ht="13.5">
      <c r="A29" s="417">
        <v>1</v>
      </c>
      <c r="B29" s="418"/>
      <c r="C29" s="418"/>
      <c r="D29" s="418"/>
      <c r="E29" s="418"/>
      <c r="F29" s="418"/>
      <c r="G29" s="418"/>
      <c r="H29" s="418"/>
      <c r="I29" s="419">
        <f aca="true" t="shared" si="2" ref="I29:I35">10-($I$17-H29)</f>
        <v>-2015</v>
      </c>
      <c r="J29" s="420"/>
      <c r="K29" s="418"/>
      <c r="L29" s="418"/>
      <c r="M29" s="421"/>
      <c r="N29" s="421">
        <f aca="true" t="shared" si="3" ref="N29:N35">SUM(K29:M29)</f>
        <v>0</v>
      </c>
      <c r="O29" s="418"/>
      <c r="P29" s="418"/>
      <c r="Q29" s="418"/>
      <c r="R29" s="418"/>
      <c r="S29" s="418"/>
      <c r="T29" s="418"/>
      <c r="U29" s="418"/>
      <c r="V29" s="418"/>
      <c r="W29" s="418"/>
    </row>
    <row r="30" spans="1:23" ht="13.5">
      <c r="A30" s="417">
        <v>2</v>
      </c>
      <c r="B30" s="418"/>
      <c r="C30" s="418"/>
      <c r="D30" s="418"/>
      <c r="E30" s="418"/>
      <c r="F30" s="418"/>
      <c r="G30" s="418"/>
      <c r="H30" s="418"/>
      <c r="I30" s="419">
        <f t="shared" si="2"/>
        <v>-2015</v>
      </c>
      <c r="J30" s="420"/>
      <c r="K30" s="418"/>
      <c r="L30" s="418"/>
      <c r="M30" s="421"/>
      <c r="N30" s="421">
        <f>SUM(K30:M30)</f>
        <v>0</v>
      </c>
      <c r="O30" s="418"/>
      <c r="P30" s="418"/>
      <c r="Q30" s="418"/>
      <c r="R30" s="418"/>
      <c r="S30" s="418"/>
      <c r="T30" s="418"/>
      <c r="U30" s="418"/>
      <c r="V30" s="418"/>
      <c r="W30" s="418"/>
    </row>
    <row r="31" spans="1:23" ht="13.5">
      <c r="A31" s="417">
        <v>3</v>
      </c>
      <c r="B31" s="418"/>
      <c r="C31" s="418"/>
      <c r="D31" s="418"/>
      <c r="E31" s="418"/>
      <c r="F31" s="418"/>
      <c r="G31" s="418"/>
      <c r="H31" s="418"/>
      <c r="I31" s="419">
        <f t="shared" si="2"/>
        <v>-2015</v>
      </c>
      <c r="J31" s="420"/>
      <c r="K31" s="418"/>
      <c r="L31" s="418"/>
      <c r="M31" s="421"/>
      <c r="N31" s="421">
        <f t="shared" si="3"/>
        <v>0</v>
      </c>
      <c r="O31" s="418"/>
      <c r="P31" s="418"/>
      <c r="Q31" s="418"/>
      <c r="R31" s="418"/>
      <c r="S31" s="418"/>
      <c r="T31" s="418"/>
      <c r="U31" s="418"/>
      <c r="V31" s="418"/>
      <c r="W31" s="418"/>
    </row>
    <row r="32" spans="1:23" ht="13.5">
      <c r="A32" s="32">
        <v>4</v>
      </c>
      <c r="B32" s="418"/>
      <c r="C32" s="418"/>
      <c r="D32" s="418"/>
      <c r="E32" s="418"/>
      <c r="F32" s="418"/>
      <c r="G32" s="418"/>
      <c r="H32" s="418"/>
      <c r="I32" s="419">
        <f t="shared" si="2"/>
        <v>-2015</v>
      </c>
      <c r="J32" s="420"/>
      <c r="K32" s="418"/>
      <c r="L32" s="418"/>
      <c r="M32" s="421"/>
      <c r="N32" s="421">
        <f t="shared" si="3"/>
        <v>0</v>
      </c>
      <c r="O32" s="418"/>
      <c r="P32" s="418"/>
      <c r="Q32" s="418"/>
      <c r="R32" s="418"/>
      <c r="S32" s="418"/>
      <c r="T32" s="418"/>
      <c r="U32" s="418"/>
      <c r="V32" s="418"/>
      <c r="W32" s="418"/>
    </row>
    <row r="33" spans="1:23" ht="13.5">
      <c r="A33" s="32">
        <v>5</v>
      </c>
      <c r="B33" s="418"/>
      <c r="C33" s="418"/>
      <c r="D33" s="418"/>
      <c r="E33" s="418"/>
      <c r="F33" s="418"/>
      <c r="G33" s="418"/>
      <c r="H33" s="418"/>
      <c r="I33" s="419">
        <f t="shared" si="2"/>
        <v>-2015</v>
      </c>
      <c r="J33" s="420"/>
      <c r="K33" s="418"/>
      <c r="L33" s="418"/>
      <c r="M33" s="421"/>
      <c r="N33" s="421">
        <f t="shared" si="3"/>
        <v>0</v>
      </c>
      <c r="O33" s="418"/>
      <c r="P33" s="418"/>
      <c r="Q33" s="418"/>
      <c r="R33" s="418"/>
      <c r="S33" s="418"/>
      <c r="T33" s="418"/>
      <c r="U33" s="418"/>
      <c r="V33" s="418"/>
      <c r="W33" s="418"/>
    </row>
    <row r="34" spans="1:23" ht="13.5">
      <c r="A34" s="32">
        <v>6</v>
      </c>
      <c r="B34" s="418"/>
      <c r="C34" s="418"/>
      <c r="D34" s="418"/>
      <c r="E34" s="418"/>
      <c r="F34" s="418"/>
      <c r="G34" s="418"/>
      <c r="H34" s="418"/>
      <c r="I34" s="419">
        <f t="shared" si="2"/>
        <v>-2015</v>
      </c>
      <c r="J34" s="420"/>
      <c r="K34" s="418"/>
      <c r="L34" s="418"/>
      <c r="M34" s="421"/>
      <c r="N34" s="421">
        <f t="shared" si="3"/>
        <v>0</v>
      </c>
      <c r="O34" s="418"/>
      <c r="P34" s="418"/>
      <c r="Q34" s="418"/>
      <c r="R34" s="418"/>
      <c r="S34" s="418"/>
      <c r="T34" s="418"/>
      <c r="U34" s="418"/>
      <c r="V34" s="418"/>
      <c r="W34" s="418"/>
    </row>
    <row r="35" spans="1:23" ht="13.5">
      <c r="A35" s="32">
        <v>7</v>
      </c>
      <c r="B35" s="418"/>
      <c r="C35" s="418"/>
      <c r="D35" s="418"/>
      <c r="E35" s="418"/>
      <c r="F35" s="418"/>
      <c r="G35" s="418"/>
      <c r="H35" s="418"/>
      <c r="I35" s="419">
        <f t="shared" si="2"/>
        <v>-2015</v>
      </c>
      <c r="J35" s="420"/>
      <c r="K35" s="418"/>
      <c r="L35" s="418"/>
      <c r="M35" s="421"/>
      <c r="N35" s="421">
        <f t="shared" si="3"/>
        <v>0</v>
      </c>
      <c r="O35" s="418"/>
      <c r="P35" s="418"/>
      <c r="Q35" s="418"/>
      <c r="R35" s="418"/>
      <c r="S35" s="418"/>
      <c r="T35" s="418"/>
      <c r="U35" s="418"/>
      <c r="V35" s="418"/>
      <c r="W35" s="418"/>
    </row>
    <row r="36" spans="1:23" ht="72.75">
      <c r="A36" s="415"/>
      <c r="B36" s="416" t="s">
        <v>1007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3.5">
      <c r="A37" s="417">
        <v>1</v>
      </c>
      <c r="B37" s="418"/>
      <c r="C37" s="418"/>
      <c r="D37" s="418"/>
      <c r="E37" s="418"/>
      <c r="F37" s="418"/>
      <c r="G37" s="418"/>
      <c r="H37" s="418"/>
      <c r="I37" s="419">
        <f aca="true" t="shared" si="4" ref="I37:I43">10-($I$17-H37)</f>
        <v>-2015</v>
      </c>
      <c r="J37" s="420"/>
      <c r="K37" s="418"/>
      <c r="L37" s="418"/>
      <c r="M37" s="421"/>
      <c r="N37" s="421">
        <f aca="true" t="shared" si="5" ref="N37:N43">SUM(K37:M37)</f>
        <v>0</v>
      </c>
      <c r="O37" s="418"/>
      <c r="P37" s="418"/>
      <c r="Q37" s="418"/>
      <c r="R37" s="418"/>
      <c r="S37" s="418"/>
      <c r="T37" s="418"/>
      <c r="U37" s="418"/>
      <c r="V37" s="418"/>
      <c r="W37" s="418"/>
    </row>
    <row r="38" spans="1:23" ht="13.5">
      <c r="A38" s="417">
        <v>2</v>
      </c>
      <c r="B38" s="418"/>
      <c r="C38" s="418"/>
      <c r="D38" s="418"/>
      <c r="E38" s="418"/>
      <c r="F38" s="418"/>
      <c r="G38" s="418"/>
      <c r="H38" s="418"/>
      <c r="I38" s="419">
        <f t="shared" si="4"/>
        <v>-2015</v>
      </c>
      <c r="J38" s="420"/>
      <c r="K38" s="418"/>
      <c r="L38" s="418"/>
      <c r="M38" s="421"/>
      <c r="N38" s="421">
        <f t="shared" si="5"/>
        <v>0</v>
      </c>
      <c r="O38" s="418"/>
      <c r="P38" s="418"/>
      <c r="Q38" s="418"/>
      <c r="R38" s="418"/>
      <c r="S38" s="418"/>
      <c r="T38" s="418"/>
      <c r="U38" s="418"/>
      <c r="V38" s="418"/>
      <c r="W38" s="418"/>
    </row>
    <row r="39" spans="1:23" ht="13.5">
      <c r="A39" s="417">
        <v>3</v>
      </c>
      <c r="B39" s="418"/>
      <c r="C39" s="418"/>
      <c r="D39" s="418"/>
      <c r="E39" s="418"/>
      <c r="F39" s="418"/>
      <c r="G39" s="418"/>
      <c r="H39" s="418"/>
      <c r="I39" s="419">
        <f t="shared" si="4"/>
        <v>-2015</v>
      </c>
      <c r="J39" s="420"/>
      <c r="K39" s="418"/>
      <c r="L39" s="418"/>
      <c r="M39" s="421"/>
      <c r="N39" s="421">
        <f t="shared" si="5"/>
        <v>0</v>
      </c>
      <c r="O39" s="418"/>
      <c r="P39" s="418"/>
      <c r="Q39" s="418"/>
      <c r="R39" s="418"/>
      <c r="S39" s="418"/>
      <c r="T39" s="418"/>
      <c r="U39" s="418"/>
      <c r="V39" s="418"/>
      <c r="W39" s="418"/>
    </row>
    <row r="40" spans="1:23" ht="13.5">
      <c r="A40" s="32">
        <v>4</v>
      </c>
      <c r="B40" s="418"/>
      <c r="C40" s="418"/>
      <c r="D40" s="418"/>
      <c r="E40" s="418"/>
      <c r="F40" s="418"/>
      <c r="G40" s="418"/>
      <c r="H40" s="418"/>
      <c r="I40" s="419">
        <f t="shared" si="4"/>
        <v>-2015</v>
      </c>
      <c r="J40" s="420"/>
      <c r="K40" s="418"/>
      <c r="L40" s="418"/>
      <c r="M40" s="421"/>
      <c r="N40" s="421">
        <f t="shared" si="5"/>
        <v>0</v>
      </c>
      <c r="O40" s="418"/>
      <c r="P40" s="418"/>
      <c r="Q40" s="418"/>
      <c r="R40" s="418"/>
      <c r="S40" s="418"/>
      <c r="T40" s="418"/>
      <c r="U40" s="418"/>
      <c r="V40" s="418"/>
      <c r="W40" s="418"/>
    </row>
    <row r="41" spans="1:23" ht="13.5">
      <c r="A41" s="32">
        <v>5</v>
      </c>
      <c r="B41" s="418"/>
      <c r="C41" s="418"/>
      <c r="D41" s="418"/>
      <c r="E41" s="418"/>
      <c r="F41" s="418"/>
      <c r="G41" s="418"/>
      <c r="H41" s="418"/>
      <c r="I41" s="419">
        <f t="shared" si="4"/>
        <v>-2015</v>
      </c>
      <c r="J41" s="420"/>
      <c r="K41" s="418"/>
      <c r="L41" s="418"/>
      <c r="M41" s="421"/>
      <c r="N41" s="421">
        <f t="shared" si="5"/>
        <v>0</v>
      </c>
      <c r="O41" s="418"/>
      <c r="P41" s="418"/>
      <c r="Q41" s="418"/>
      <c r="R41" s="418"/>
      <c r="S41" s="418"/>
      <c r="T41" s="418"/>
      <c r="U41" s="418"/>
      <c r="V41" s="418"/>
      <c r="W41" s="418"/>
    </row>
    <row r="42" spans="1:23" ht="13.5">
      <c r="A42" s="32">
        <v>6</v>
      </c>
      <c r="B42" s="418"/>
      <c r="C42" s="418"/>
      <c r="D42" s="418"/>
      <c r="E42" s="418"/>
      <c r="F42" s="418"/>
      <c r="G42" s="418"/>
      <c r="H42" s="418"/>
      <c r="I42" s="419">
        <f t="shared" si="4"/>
        <v>-2015</v>
      </c>
      <c r="J42" s="420"/>
      <c r="K42" s="418"/>
      <c r="L42" s="418"/>
      <c r="M42" s="421"/>
      <c r="N42" s="421">
        <f t="shared" si="5"/>
        <v>0</v>
      </c>
      <c r="O42" s="418"/>
      <c r="P42" s="418"/>
      <c r="Q42" s="418"/>
      <c r="R42" s="418"/>
      <c r="S42" s="418"/>
      <c r="T42" s="418"/>
      <c r="U42" s="418"/>
      <c r="V42" s="418"/>
      <c r="W42" s="418"/>
    </row>
    <row r="43" spans="1:23" ht="13.5">
      <c r="A43" s="32">
        <v>7</v>
      </c>
      <c r="B43" s="418"/>
      <c r="C43" s="418"/>
      <c r="D43" s="418"/>
      <c r="E43" s="418"/>
      <c r="F43" s="418"/>
      <c r="G43" s="418"/>
      <c r="H43" s="418"/>
      <c r="I43" s="419">
        <f t="shared" si="4"/>
        <v>-2015</v>
      </c>
      <c r="J43" s="420"/>
      <c r="K43" s="418"/>
      <c r="L43" s="418"/>
      <c r="M43" s="421"/>
      <c r="N43" s="421">
        <f t="shared" si="5"/>
        <v>0</v>
      </c>
      <c r="O43" s="418"/>
      <c r="P43" s="418"/>
      <c r="Q43" s="418"/>
      <c r="R43" s="418"/>
      <c r="S43" s="418"/>
      <c r="T43" s="418"/>
      <c r="U43" s="418"/>
      <c r="V43" s="418"/>
      <c r="W43" s="418"/>
    </row>
    <row r="44" spans="1:23" ht="14.25">
      <c r="A44" s="422"/>
      <c r="B44" s="423" t="s">
        <v>1008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</row>
    <row r="45" spans="1:23" ht="13.5">
      <c r="A45" s="32">
        <v>1</v>
      </c>
      <c r="B45" s="418"/>
      <c r="C45" s="418"/>
      <c r="D45" s="418"/>
      <c r="E45" s="418"/>
      <c r="F45" s="418"/>
      <c r="G45" s="418"/>
      <c r="H45" s="418"/>
      <c r="I45" s="419">
        <f aca="true" t="shared" si="6" ref="I45:I51">10-($I$17-H45)</f>
        <v>-2015</v>
      </c>
      <c r="J45" s="420"/>
      <c r="K45" s="418"/>
      <c r="L45" s="418"/>
      <c r="M45" s="421"/>
      <c r="N45" s="421">
        <f aca="true" t="shared" si="7" ref="N45:N51">SUM(K45:M45)</f>
        <v>0</v>
      </c>
      <c r="O45" s="418"/>
      <c r="P45" s="418"/>
      <c r="Q45" s="418"/>
      <c r="R45" s="418"/>
      <c r="S45" s="418"/>
      <c r="T45" s="418"/>
      <c r="U45" s="418"/>
      <c r="V45" s="418"/>
      <c r="W45" s="418"/>
    </row>
    <row r="46" spans="1:23" ht="13.5">
      <c r="A46" s="32">
        <v>2</v>
      </c>
      <c r="B46" s="418"/>
      <c r="C46" s="418"/>
      <c r="D46" s="418"/>
      <c r="E46" s="418"/>
      <c r="F46" s="418"/>
      <c r="G46" s="418"/>
      <c r="H46" s="418"/>
      <c r="I46" s="419">
        <f t="shared" si="6"/>
        <v>-2015</v>
      </c>
      <c r="J46" s="420"/>
      <c r="K46" s="418"/>
      <c r="L46" s="418"/>
      <c r="M46" s="421"/>
      <c r="N46" s="421">
        <f t="shared" si="7"/>
        <v>0</v>
      </c>
      <c r="O46" s="418"/>
      <c r="P46" s="418"/>
      <c r="Q46" s="418"/>
      <c r="R46" s="418"/>
      <c r="S46" s="418"/>
      <c r="T46" s="418"/>
      <c r="U46" s="418"/>
      <c r="V46" s="418"/>
      <c r="W46" s="418"/>
    </row>
    <row r="47" spans="1:23" ht="13.5">
      <c r="A47" s="32">
        <v>3</v>
      </c>
      <c r="B47" s="418"/>
      <c r="C47" s="418"/>
      <c r="D47" s="418"/>
      <c r="E47" s="418"/>
      <c r="F47" s="418"/>
      <c r="G47" s="418"/>
      <c r="H47" s="418"/>
      <c r="I47" s="419">
        <f t="shared" si="6"/>
        <v>-2015</v>
      </c>
      <c r="J47" s="420"/>
      <c r="K47" s="418"/>
      <c r="L47" s="418"/>
      <c r="M47" s="421"/>
      <c r="N47" s="421">
        <f t="shared" si="7"/>
        <v>0</v>
      </c>
      <c r="O47" s="418"/>
      <c r="P47" s="418"/>
      <c r="Q47" s="418"/>
      <c r="R47" s="418"/>
      <c r="S47" s="418"/>
      <c r="T47" s="418"/>
      <c r="U47" s="418"/>
      <c r="V47" s="418"/>
      <c r="W47" s="418"/>
    </row>
    <row r="48" spans="1:23" ht="13.5">
      <c r="A48" s="32">
        <v>4</v>
      </c>
      <c r="B48" s="418"/>
      <c r="C48" s="418"/>
      <c r="D48" s="418"/>
      <c r="E48" s="418"/>
      <c r="F48" s="418"/>
      <c r="G48" s="418"/>
      <c r="H48" s="418"/>
      <c r="I48" s="419">
        <f t="shared" si="6"/>
        <v>-2015</v>
      </c>
      <c r="J48" s="420"/>
      <c r="K48" s="418"/>
      <c r="L48" s="418"/>
      <c r="M48" s="421"/>
      <c r="N48" s="421">
        <f t="shared" si="7"/>
        <v>0</v>
      </c>
      <c r="O48" s="418"/>
      <c r="P48" s="418"/>
      <c r="Q48" s="418"/>
      <c r="R48" s="418"/>
      <c r="S48" s="418"/>
      <c r="T48" s="418"/>
      <c r="U48" s="424"/>
      <c r="V48" s="418"/>
      <c r="W48" s="418"/>
    </row>
    <row r="49" spans="1:23" ht="13.5">
      <c r="A49" s="32">
        <v>5</v>
      </c>
      <c r="B49" s="418"/>
      <c r="C49" s="418"/>
      <c r="D49" s="418"/>
      <c r="E49" s="418"/>
      <c r="F49" s="418"/>
      <c r="G49" s="418"/>
      <c r="H49" s="418"/>
      <c r="I49" s="419">
        <f t="shared" si="6"/>
        <v>-2015</v>
      </c>
      <c r="J49" s="418"/>
      <c r="K49" s="418"/>
      <c r="L49" s="418"/>
      <c r="M49" s="421"/>
      <c r="N49" s="421">
        <f t="shared" si="7"/>
        <v>0</v>
      </c>
      <c r="O49" s="418"/>
      <c r="P49" s="418"/>
      <c r="Q49" s="418"/>
      <c r="R49" s="418"/>
      <c r="S49" s="418"/>
      <c r="T49" s="418"/>
      <c r="U49" s="424"/>
      <c r="V49" s="418"/>
      <c r="W49" s="418"/>
    </row>
    <row r="50" spans="1:23" ht="13.5">
      <c r="A50" s="32">
        <v>6</v>
      </c>
      <c r="B50" s="418"/>
      <c r="C50" s="418"/>
      <c r="D50" s="418"/>
      <c r="E50" s="418"/>
      <c r="F50" s="418"/>
      <c r="G50" s="418"/>
      <c r="H50" s="418"/>
      <c r="I50" s="419">
        <f t="shared" si="6"/>
        <v>-2015</v>
      </c>
      <c r="J50" s="418"/>
      <c r="K50" s="418"/>
      <c r="L50" s="418"/>
      <c r="M50" s="421"/>
      <c r="N50" s="421">
        <f t="shared" si="7"/>
        <v>0</v>
      </c>
      <c r="O50" s="418"/>
      <c r="P50" s="418"/>
      <c r="Q50" s="418"/>
      <c r="R50" s="418"/>
      <c r="S50" s="418"/>
      <c r="T50" s="418"/>
      <c r="U50" s="424"/>
      <c r="V50" s="418"/>
      <c r="W50" s="418"/>
    </row>
    <row r="51" spans="1:23" ht="13.5">
      <c r="A51" s="32">
        <v>7</v>
      </c>
      <c r="B51" s="418"/>
      <c r="C51" s="418"/>
      <c r="D51" s="418"/>
      <c r="E51" s="418"/>
      <c r="F51" s="418"/>
      <c r="G51" s="418"/>
      <c r="H51" s="418"/>
      <c r="I51" s="419">
        <f t="shared" si="6"/>
        <v>-2015</v>
      </c>
      <c r="J51" s="418"/>
      <c r="K51" s="418"/>
      <c r="L51" s="418"/>
      <c r="M51" s="421"/>
      <c r="N51" s="421">
        <f t="shared" si="7"/>
        <v>0</v>
      </c>
      <c r="O51" s="418"/>
      <c r="P51" s="418"/>
      <c r="Q51" s="418"/>
      <c r="R51" s="418"/>
      <c r="S51" s="418"/>
      <c r="T51" s="418"/>
      <c r="U51" s="424"/>
      <c r="V51" s="418"/>
      <c r="W51" s="418"/>
    </row>
    <row r="52" spans="1:21" ht="13.5">
      <c r="A52" s="425"/>
      <c r="B52" s="42"/>
      <c r="C52" s="42"/>
      <c r="D52" s="42"/>
      <c r="E52" s="42"/>
      <c r="F52" s="42"/>
      <c r="G52" s="42"/>
      <c r="H52" s="42"/>
      <c r="I52" s="426"/>
      <c r="J52" s="426"/>
      <c r="K52" s="42"/>
      <c r="L52" s="42"/>
      <c r="M52" s="426"/>
      <c r="N52" s="42"/>
      <c r="O52" s="426"/>
      <c r="P52" s="42"/>
      <c r="Q52" s="42"/>
      <c r="R52" s="42"/>
      <c r="S52" s="42"/>
      <c r="T52" s="42"/>
      <c r="U52" s="427"/>
    </row>
    <row r="53" spans="1:21" s="428" customFormat="1" ht="13.5">
      <c r="A53" s="425"/>
      <c r="B53" s="42"/>
      <c r="C53" s="42"/>
      <c r="D53" s="42"/>
      <c r="E53" s="42"/>
      <c r="F53" s="42"/>
      <c r="G53" s="42"/>
      <c r="H53" s="42"/>
      <c r="I53" s="426"/>
      <c r="J53" s="42"/>
      <c r="K53" s="42"/>
      <c r="L53" s="42"/>
      <c r="M53" s="426"/>
      <c r="N53" s="42"/>
      <c r="O53" s="42"/>
      <c r="P53" s="42"/>
      <c r="Q53" s="42"/>
      <c r="R53" s="42"/>
      <c r="S53" s="42"/>
      <c r="T53" s="42"/>
      <c r="U53" s="427"/>
    </row>
    <row r="54" spans="1:21" s="428" customFormat="1" ht="14.25">
      <c r="A54" s="429" t="s">
        <v>7</v>
      </c>
      <c r="B54" s="430" t="s">
        <v>1009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7"/>
    </row>
    <row r="55" spans="1:21" s="428" customFormat="1" ht="14.25">
      <c r="A55" s="429"/>
      <c r="B55" s="42" t="s">
        <v>1010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7"/>
    </row>
    <row r="56" spans="1:21" s="428" customFormat="1" ht="17.25">
      <c r="A56" s="431">
        <v>1</v>
      </c>
      <c r="B56" s="42" t="s">
        <v>1011</v>
      </c>
      <c r="I56" s="42"/>
      <c r="J56" s="42"/>
      <c r="K56" s="42"/>
      <c r="L56" s="42"/>
      <c r="M56" s="42"/>
      <c r="N56" s="42"/>
      <c r="U56" s="432"/>
    </row>
    <row r="57" spans="1:21" s="428" customFormat="1" ht="17.25">
      <c r="A57" s="431">
        <v>2</v>
      </c>
      <c r="B57" s="42" t="s">
        <v>1012</v>
      </c>
      <c r="I57" s="42"/>
      <c r="K57" s="42"/>
      <c r="L57" s="42"/>
      <c r="M57" s="42"/>
      <c r="N57" s="42"/>
      <c r="U57" s="432"/>
    </row>
    <row r="58" spans="1:21" s="428" customFormat="1" ht="17.25">
      <c r="A58" s="431">
        <v>2</v>
      </c>
      <c r="B58" s="42" t="s">
        <v>1013</v>
      </c>
      <c r="I58" s="42"/>
      <c r="K58" s="42"/>
      <c r="L58" s="42"/>
      <c r="M58" s="42"/>
      <c r="N58" s="42"/>
      <c r="U58" s="432"/>
    </row>
    <row r="59" spans="1:21" s="428" customFormat="1" ht="17.25">
      <c r="A59" s="433">
        <v>3</v>
      </c>
      <c r="B59" s="42" t="s">
        <v>1014</v>
      </c>
      <c r="I59" s="42"/>
      <c r="K59" s="42"/>
      <c r="L59" s="42"/>
      <c r="M59" s="42"/>
      <c r="N59" s="42"/>
      <c r="U59" s="432"/>
    </row>
    <row r="60" spans="2:21" s="428" customFormat="1" ht="25.5" customHeight="1">
      <c r="B60" s="42" t="s">
        <v>1015</v>
      </c>
      <c r="I60" s="42"/>
      <c r="K60" s="42"/>
      <c r="L60" s="42"/>
      <c r="M60" s="42"/>
      <c r="N60" s="42"/>
      <c r="U60" s="432"/>
    </row>
    <row r="61" spans="9:21" s="428" customFormat="1" ht="13.5">
      <c r="I61" s="42"/>
      <c r="K61" s="42"/>
      <c r="L61" s="42"/>
      <c r="M61" s="42"/>
      <c r="N61" s="42"/>
      <c r="U61" s="432"/>
    </row>
    <row r="62" spans="2:21" s="428" customFormat="1" ht="14.25">
      <c r="B62" s="434" t="s">
        <v>329</v>
      </c>
      <c r="I62" s="42"/>
      <c r="K62" s="42"/>
      <c r="L62" s="42"/>
      <c r="M62" s="42"/>
      <c r="N62" s="42"/>
      <c r="U62" s="432"/>
    </row>
    <row r="63" spans="2:21" s="428" customFormat="1" ht="13.5">
      <c r="B63" s="42"/>
      <c r="C63" s="42"/>
      <c r="D63" s="42"/>
      <c r="E63" s="42"/>
      <c r="F63" s="42"/>
      <c r="G63" s="42"/>
      <c r="H63" s="42"/>
      <c r="I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7"/>
    </row>
    <row r="64" spans="1:21" s="428" customFormat="1" ht="14.25">
      <c r="A64" s="429"/>
      <c r="J64" s="42"/>
      <c r="U64" s="432"/>
    </row>
    <row r="65" spans="1:21" s="428" customFormat="1" ht="13.5">
      <c r="A65" s="42"/>
      <c r="C65" s="42"/>
      <c r="D65" s="42"/>
      <c r="E65" s="42"/>
      <c r="F65" s="42"/>
      <c r="G65" s="42"/>
      <c r="H65" s="42"/>
      <c r="I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7"/>
    </row>
    <row r="66" spans="10:21" s="428" customFormat="1" ht="13.5">
      <c r="J66" s="42"/>
      <c r="U66" s="432"/>
    </row>
    <row r="67" spans="2:21" s="428" customFormat="1" ht="103.5" hidden="1">
      <c r="B67" s="78" t="s">
        <v>1016</v>
      </c>
      <c r="C67" s="78" t="s">
        <v>1017</v>
      </c>
      <c r="D67" s="78" t="s">
        <v>1018</v>
      </c>
      <c r="E67" s="78" t="s">
        <v>1019</v>
      </c>
      <c r="U67" s="432"/>
    </row>
    <row r="68" spans="2:10" ht="17.25" hidden="1">
      <c r="B68" s="382" t="s">
        <v>1020</v>
      </c>
      <c r="C68" s="382" t="s">
        <v>1021</v>
      </c>
      <c r="D68" s="382" t="s">
        <v>1022</v>
      </c>
      <c r="E68" s="382" t="s">
        <v>1023</v>
      </c>
      <c r="J68" s="428"/>
    </row>
    <row r="69" spans="2:5" ht="17.25" hidden="1">
      <c r="B69" s="382" t="s">
        <v>1024</v>
      </c>
      <c r="C69" s="382" t="s">
        <v>1025</v>
      </c>
      <c r="D69" s="382" t="s">
        <v>1026</v>
      </c>
      <c r="E69" s="382" t="s">
        <v>1027</v>
      </c>
    </row>
    <row r="70" spans="2:5" ht="17.25" hidden="1">
      <c r="B70" s="382" t="s">
        <v>1028</v>
      </c>
      <c r="C70" s="382" t="s">
        <v>1029</v>
      </c>
      <c r="D70" s="382" t="s">
        <v>1030</v>
      </c>
      <c r="E70" s="382"/>
    </row>
    <row r="71" spans="2:4" ht="17.25" hidden="1">
      <c r="B71" s="382" t="s">
        <v>1031</v>
      </c>
      <c r="C71" s="382" t="s">
        <v>1032</v>
      </c>
      <c r="D71" s="382" t="s">
        <v>1033</v>
      </c>
    </row>
    <row r="72" spans="2:4" ht="17.25" hidden="1">
      <c r="B72" s="382" t="s">
        <v>1034</v>
      </c>
      <c r="C72" s="382" t="s">
        <v>1035</v>
      </c>
      <c r="D72" s="435" t="s">
        <v>1036</v>
      </c>
    </row>
    <row r="73" spans="2:4" ht="17.25" hidden="1">
      <c r="B73" s="382" t="s">
        <v>144</v>
      </c>
      <c r="C73" s="381"/>
      <c r="D73" s="436"/>
    </row>
    <row r="74" ht="12.75" hidden="1"/>
    <row r="75" ht="155.25" hidden="1">
      <c r="B75" s="78" t="s">
        <v>1037</v>
      </c>
    </row>
    <row r="76" ht="34.5" hidden="1">
      <c r="B76" s="437" t="s">
        <v>1038</v>
      </c>
    </row>
    <row r="77" ht="51.75" hidden="1">
      <c r="B77" s="437" t="s">
        <v>1039</v>
      </c>
    </row>
    <row r="78" ht="69" hidden="1">
      <c r="B78" s="437" t="s">
        <v>1040</v>
      </c>
    </row>
    <row r="79" ht="34.5" hidden="1">
      <c r="B79" s="437" t="s">
        <v>1041</v>
      </c>
    </row>
    <row r="80" ht="12.75" hidden="1"/>
    <row r="81" ht="12.75" hidden="1"/>
  </sheetData>
  <sheetProtection/>
  <mergeCells count="7">
    <mergeCell ref="O14:R14"/>
    <mergeCell ref="S14:V14"/>
    <mergeCell ref="W14:W15"/>
    <mergeCell ref="K3:M3"/>
    <mergeCell ref="C14:I14"/>
    <mergeCell ref="J14:J15"/>
    <mergeCell ref="K14:N14"/>
  </mergeCells>
  <conditionalFormatting sqref="I29 I31:I35 I19:I27">
    <cfRule type="cellIs" priority="8" dxfId="0" operator="equal" stopIfTrue="1">
      <formula>-2014</formula>
    </cfRule>
  </conditionalFormatting>
  <conditionalFormatting sqref="I29 I31:I35 I19:I27">
    <cfRule type="cellIs" priority="7" dxfId="0" operator="equal" stopIfTrue="1">
      <formula>-2015</formula>
    </cfRule>
  </conditionalFormatting>
  <conditionalFormatting sqref="I37:I43">
    <cfRule type="cellIs" priority="5" dxfId="0" operator="equal" stopIfTrue="1">
      <formula>-2015</formula>
    </cfRule>
  </conditionalFormatting>
  <conditionalFormatting sqref="I37:I43">
    <cfRule type="cellIs" priority="6" dxfId="0" operator="equal" stopIfTrue="1">
      <formula>-2014</formula>
    </cfRule>
  </conditionalFormatting>
  <conditionalFormatting sqref="I45:I51">
    <cfRule type="cellIs" priority="4" dxfId="0" operator="equal" stopIfTrue="1">
      <formula>-2014</formula>
    </cfRule>
  </conditionalFormatting>
  <conditionalFormatting sqref="I45:I51">
    <cfRule type="cellIs" priority="3" dxfId="0" operator="equal" stopIfTrue="1">
      <formula>-2015</formula>
    </cfRule>
  </conditionalFormatting>
  <conditionalFormatting sqref="I30">
    <cfRule type="cellIs" priority="2" dxfId="0" operator="equal" stopIfTrue="1">
      <formula>-2014</formula>
    </cfRule>
  </conditionalFormatting>
  <conditionalFormatting sqref="I30">
    <cfRule type="cellIs" priority="1" dxfId="0" operator="equal" stopIfTrue="1">
      <formula>-2015</formula>
    </cfRule>
  </conditionalFormatting>
  <dataValidations count="5">
    <dataValidation type="list" allowBlank="1" showInputMessage="1" showErrorMessage="1" sqref="J19:J27 J45:J51 J37:J43 J29:J35">
      <formula1>$B$76:$B$79</formula1>
    </dataValidation>
    <dataValidation type="list" allowBlank="1" showInputMessage="1" showErrorMessage="1" sqref="G19:G27 G29:G35 G37:G43 G45:G51 U48:U51 Q48:Q51">
      <formula1>$E$68:$E$69</formula1>
    </dataValidation>
    <dataValidation type="list" allowBlank="1" showInputMessage="1" showErrorMessage="1" sqref="F19:F27 Q29:Q35 Q37:Q43 Q19:Q27 F29:F35 F37:F43 F45:F51 U29:U35 U37:U43 U19:U27 U45:U47 T48:T51 Q45:Q47 P48:P51">
      <formula1>$D$68:$D$72</formula1>
    </dataValidation>
    <dataValidation type="list" allowBlank="1" showInputMessage="1" showErrorMessage="1" sqref="E19:E27 P29:P35 P37:P43 O48:O51 E29:E35 E37:E43 E45:E51 T29:T35 T37:T43 T19:T27 T45:T47 S48:S51 P45:P47 P19:P27">
      <formula1>$C$68:$C$72</formula1>
    </dataValidation>
    <dataValidation type="list" allowBlank="1" showInputMessage="1" showErrorMessage="1" sqref="D29:D35 O19:O27 O37:O43 O29:O35 D45:D51 D19:D27 D37:D43 S19:S27 S37:S43 S29:S35 S45:S47 R48:R51 O45:O47">
      <formula1>$B$68:$B$73</formula1>
    </dataValidation>
  </dataValidations>
  <printOptions/>
  <pageMargins left="0.41" right="0.18" top="0.48" bottom="0.27" header="0.17" footer="0.19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G376"/>
  <sheetViews>
    <sheetView zoomScalePageLayoutView="0" workbookViewId="0" topLeftCell="A1">
      <selection activeCell="Q175" sqref="Q175"/>
    </sheetView>
  </sheetViews>
  <sheetFormatPr defaultColWidth="9.140625" defaultRowHeight="12.75"/>
  <cols>
    <col min="1" max="1" width="5.28125" style="527" customWidth="1"/>
    <col min="2" max="2" width="6.28125" style="527" customWidth="1"/>
    <col min="3" max="3" width="6.140625" style="527" customWidth="1"/>
    <col min="4" max="4" width="58.28125" style="527" customWidth="1"/>
    <col min="5" max="5" width="18.7109375" style="527" customWidth="1"/>
    <col min="6" max="6" width="9.28125" style="527" customWidth="1"/>
    <col min="7" max="7" width="10.140625" style="527" customWidth="1"/>
    <col min="8" max="8" width="11.140625" style="527" customWidth="1"/>
    <col min="9" max="9" width="15.00390625" style="637" bestFit="1" customWidth="1"/>
    <col min="10" max="10" width="11.140625" style="527" customWidth="1"/>
    <col min="11" max="11" width="14.28125" style="538" customWidth="1"/>
    <col min="12" max="12" width="9.57421875" style="527" customWidth="1"/>
    <col min="13" max="13" width="11.8515625" style="527" customWidth="1"/>
    <col min="14" max="14" width="11.00390625" style="527" customWidth="1"/>
    <col min="15" max="15" width="9.57421875" style="527" customWidth="1"/>
    <col min="16" max="16" width="11.8515625" style="527" customWidth="1"/>
    <col min="17" max="17" width="11.00390625" style="527" customWidth="1"/>
    <col min="18" max="16384" width="9.140625" style="527" customWidth="1"/>
  </cols>
  <sheetData>
    <row r="1" spans="3:17" ht="17.25">
      <c r="C1" s="528"/>
      <c r="D1" s="529"/>
      <c r="E1" s="529"/>
      <c r="F1" s="530"/>
      <c r="G1" s="531"/>
      <c r="H1" s="531"/>
      <c r="I1" s="532"/>
      <c r="J1" s="533"/>
      <c r="K1" s="534" t="s">
        <v>1115</v>
      </c>
      <c r="L1" s="529"/>
      <c r="M1" s="533"/>
      <c r="N1" s="533"/>
      <c r="O1" s="533"/>
      <c r="P1" s="533"/>
      <c r="Q1" s="533"/>
    </row>
    <row r="2" spans="3:17" ht="17.25">
      <c r="C2" s="528"/>
      <c r="D2" s="529"/>
      <c r="E2" s="529"/>
      <c r="F2" s="530"/>
      <c r="G2" s="531"/>
      <c r="H2" s="531"/>
      <c r="I2" s="532"/>
      <c r="J2" s="1058" t="s">
        <v>9</v>
      </c>
      <c r="K2" s="1058"/>
      <c r="L2" s="1058"/>
      <c r="M2" s="533"/>
      <c r="N2" s="533"/>
      <c r="O2" s="533"/>
      <c r="P2" s="533"/>
      <c r="Q2" s="533"/>
    </row>
    <row r="3" spans="3:9" ht="18" thickBot="1">
      <c r="C3" s="533"/>
      <c r="D3" s="535" t="s">
        <v>1107</v>
      </c>
      <c r="E3" s="535"/>
      <c r="F3" s="536"/>
      <c r="G3" s="536"/>
      <c r="H3" s="536"/>
      <c r="I3" s="537"/>
    </row>
    <row r="4" spans="1:241" ht="17.25">
      <c r="A4" s="539"/>
      <c r="B4" s="539"/>
      <c r="C4" s="533"/>
      <c r="D4" s="1120" t="s">
        <v>10</v>
      </c>
      <c r="E4" s="1120"/>
      <c r="F4" s="1120"/>
      <c r="G4" s="1120"/>
      <c r="H4" s="1120"/>
      <c r="I4" s="540"/>
      <c r="J4" s="533"/>
      <c r="K4" s="541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9"/>
      <c r="AQ4" s="539"/>
      <c r="AR4" s="539"/>
      <c r="AS4" s="539"/>
      <c r="AT4" s="539"/>
      <c r="AU4" s="539"/>
      <c r="AV4" s="539"/>
      <c r="AW4" s="539"/>
      <c r="AX4" s="539"/>
      <c r="AY4" s="539"/>
      <c r="AZ4" s="539"/>
      <c r="BA4" s="539"/>
      <c r="BB4" s="539"/>
      <c r="BC4" s="539"/>
      <c r="BD4" s="539"/>
      <c r="BE4" s="539"/>
      <c r="BF4" s="539"/>
      <c r="BG4" s="539"/>
      <c r="BH4" s="539"/>
      <c r="BI4" s="539"/>
      <c r="BJ4" s="539"/>
      <c r="BK4" s="539"/>
      <c r="BL4" s="539"/>
      <c r="BM4" s="539"/>
      <c r="BN4" s="539"/>
      <c r="BO4" s="539"/>
      <c r="BP4" s="539"/>
      <c r="BQ4" s="539"/>
      <c r="BR4" s="539"/>
      <c r="BS4" s="539"/>
      <c r="BT4" s="539"/>
      <c r="BU4" s="539"/>
      <c r="BV4" s="539"/>
      <c r="BW4" s="539"/>
      <c r="BX4" s="539"/>
      <c r="BY4" s="539"/>
      <c r="BZ4" s="539"/>
      <c r="CA4" s="539"/>
      <c r="CB4" s="539"/>
      <c r="CC4" s="539"/>
      <c r="CD4" s="539"/>
      <c r="CE4" s="539"/>
      <c r="CF4" s="539"/>
      <c r="CG4" s="539"/>
      <c r="CH4" s="539"/>
      <c r="CI4" s="539"/>
      <c r="CJ4" s="539"/>
      <c r="CK4" s="539"/>
      <c r="CL4" s="539"/>
      <c r="CM4" s="539"/>
      <c r="CN4" s="539"/>
      <c r="CO4" s="539"/>
      <c r="CP4" s="539"/>
      <c r="CQ4" s="539"/>
      <c r="CR4" s="539"/>
      <c r="CS4" s="539"/>
      <c r="CT4" s="539"/>
      <c r="CU4" s="539"/>
      <c r="CV4" s="539"/>
      <c r="CW4" s="539"/>
      <c r="CX4" s="539"/>
      <c r="CY4" s="539"/>
      <c r="CZ4" s="539"/>
      <c r="DA4" s="539"/>
      <c r="DB4" s="539"/>
      <c r="DC4" s="539"/>
      <c r="DD4" s="539"/>
      <c r="DE4" s="539"/>
      <c r="DF4" s="539"/>
      <c r="DG4" s="539"/>
      <c r="DH4" s="539"/>
      <c r="DI4" s="539"/>
      <c r="DJ4" s="539"/>
      <c r="DK4" s="539"/>
      <c r="DL4" s="539"/>
      <c r="DM4" s="539"/>
      <c r="DN4" s="539"/>
      <c r="DO4" s="539"/>
      <c r="DP4" s="539"/>
      <c r="DQ4" s="539"/>
      <c r="DR4" s="539"/>
      <c r="DS4" s="539"/>
      <c r="DT4" s="539"/>
      <c r="DU4" s="539"/>
      <c r="DV4" s="539"/>
      <c r="DW4" s="539"/>
      <c r="DX4" s="539"/>
      <c r="DY4" s="539"/>
      <c r="DZ4" s="539"/>
      <c r="EA4" s="539"/>
      <c r="EB4" s="539"/>
      <c r="EC4" s="539"/>
      <c r="ED4" s="539"/>
      <c r="EE4" s="539"/>
      <c r="EF4" s="539"/>
      <c r="EG4" s="539"/>
      <c r="EH4" s="539"/>
      <c r="EI4" s="539"/>
      <c r="EJ4" s="539"/>
      <c r="EK4" s="539"/>
      <c r="EL4" s="539"/>
      <c r="EM4" s="539"/>
      <c r="EN4" s="539"/>
      <c r="EO4" s="539"/>
      <c r="EP4" s="539"/>
      <c r="EQ4" s="539"/>
      <c r="ER4" s="539"/>
      <c r="ES4" s="539"/>
      <c r="ET4" s="539"/>
      <c r="EU4" s="539"/>
      <c r="EV4" s="539"/>
      <c r="EW4" s="539"/>
      <c r="EX4" s="539"/>
      <c r="EY4" s="539"/>
      <c r="EZ4" s="539"/>
      <c r="FA4" s="539"/>
      <c r="FB4" s="539"/>
      <c r="FC4" s="539"/>
      <c r="FD4" s="539"/>
      <c r="FE4" s="539"/>
      <c r="FF4" s="539"/>
      <c r="FG4" s="539"/>
      <c r="FH4" s="539"/>
      <c r="FI4" s="539"/>
      <c r="FJ4" s="539"/>
      <c r="FK4" s="539"/>
      <c r="FL4" s="539"/>
      <c r="FM4" s="539"/>
      <c r="FN4" s="539"/>
      <c r="FO4" s="539"/>
      <c r="FP4" s="539"/>
      <c r="FQ4" s="539"/>
      <c r="FR4" s="539"/>
      <c r="FS4" s="539"/>
      <c r="FT4" s="539"/>
      <c r="FU4" s="539"/>
      <c r="FV4" s="539"/>
      <c r="FW4" s="539"/>
      <c r="FX4" s="539"/>
      <c r="FY4" s="539"/>
      <c r="FZ4" s="539"/>
      <c r="GA4" s="539"/>
      <c r="GB4" s="539"/>
      <c r="GC4" s="539"/>
      <c r="GD4" s="539"/>
      <c r="GE4" s="539"/>
      <c r="GF4" s="539"/>
      <c r="GG4" s="539"/>
      <c r="GH4" s="539"/>
      <c r="GI4" s="539"/>
      <c r="GJ4" s="539"/>
      <c r="GK4" s="539"/>
      <c r="GL4" s="539"/>
      <c r="GM4" s="539"/>
      <c r="GN4" s="539"/>
      <c r="GO4" s="539"/>
      <c r="GP4" s="539"/>
      <c r="GQ4" s="539"/>
      <c r="GR4" s="539"/>
      <c r="GS4" s="539"/>
      <c r="GT4" s="539"/>
      <c r="GU4" s="539"/>
      <c r="GV4" s="539"/>
      <c r="GW4" s="539"/>
      <c r="GX4" s="539"/>
      <c r="GY4" s="539"/>
      <c r="GZ4" s="539"/>
      <c r="HA4" s="539"/>
      <c r="HB4" s="539"/>
      <c r="HC4" s="539"/>
      <c r="HD4" s="539"/>
      <c r="HE4" s="539"/>
      <c r="HF4" s="539"/>
      <c r="HG4" s="539"/>
      <c r="HH4" s="539"/>
      <c r="HI4" s="539"/>
      <c r="HJ4" s="539"/>
      <c r="HK4" s="539"/>
      <c r="HL4" s="539"/>
      <c r="HM4" s="539"/>
      <c r="HN4" s="539"/>
      <c r="HO4" s="539"/>
      <c r="HP4" s="539"/>
      <c r="HQ4" s="539"/>
      <c r="HR4" s="539"/>
      <c r="HS4" s="539"/>
      <c r="HT4" s="539"/>
      <c r="HU4" s="539"/>
      <c r="HV4" s="539"/>
      <c r="HW4" s="539"/>
      <c r="HX4" s="539"/>
      <c r="HY4" s="539"/>
      <c r="HZ4" s="539"/>
      <c r="IA4" s="539"/>
      <c r="IB4" s="539"/>
      <c r="IC4" s="539"/>
      <c r="ID4" s="539"/>
      <c r="IE4" s="539"/>
      <c r="IF4" s="539"/>
      <c r="IG4" s="539"/>
    </row>
    <row r="5" spans="1:241" ht="17.25">
      <c r="A5" s="542"/>
      <c r="B5" s="542"/>
      <c r="C5" s="1058" t="s">
        <v>98</v>
      </c>
      <c r="D5" s="1058"/>
      <c r="E5" s="1058"/>
      <c r="F5" s="1058"/>
      <c r="G5" s="1058"/>
      <c r="H5" s="1058"/>
      <c r="I5" s="1058"/>
      <c r="J5" s="1058"/>
      <c r="K5" s="1058"/>
      <c r="L5" s="1058"/>
      <c r="M5" s="1058"/>
      <c r="N5" s="539"/>
      <c r="O5" s="542"/>
      <c r="P5" s="542"/>
      <c r="Q5" s="539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V5" s="542"/>
      <c r="AW5" s="542"/>
      <c r="AX5" s="542"/>
      <c r="AY5" s="542"/>
      <c r="AZ5" s="542"/>
      <c r="BA5" s="542"/>
      <c r="BB5" s="542"/>
      <c r="BC5" s="542"/>
      <c r="BD5" s="542"/>
      <c r="BE5" s="542"/>
      <c r="BF5" s="542"/>
      <c r="BG5" s="542"/>
      <c r="BH5" s="542"/>
      <c r="BI5" s="542"/>
      <c r="BJ5" s="542"/>
      <c r="BK5" s="542"/>
      <c r="BL5" s="542"/>
      <c r="BM5" s="542"/>
      <c r="BN5" s="542"/>
      <c r="BO5" s="542"/>
      <c r="BP5" s="542"/>
      <c r="BQ5" s="542"/>
      <c r="BR5" s="542"/>
      <c r="BS5" s="542"/>
      <c r="BT5" s="542"/>
      <c r="BU5" s="542"/>
      <c r="BV5" s="542"/>
      <c r="BW5" s="542"/>
      <c r="BX5" s="542"/>
      <c r="BY5" s="542"/>
      <c r="BZ5" s="542"/>
      <c r="CA5" s="542"/>
      <c r="CB5" s="542"/>
      <c r="CC5" s="542"/>
      <c r="CD5" s="542"/>
      <c r="CE5" s="542"/>
      <c r="CF5" s="542"/>
      <c r="CG5" s="542"/>
      <c r="CH5" s="542"/>
      <c r="CI5" s="542"/>
      <c r="CJ5" s="542"/>
      <c r="CK5" s="542"/>
      <c r="CL5" s="542"/>
      <c r="CM5" s="542"/>
      <c r="CN5" s="542"/>
      <c r="CO5" s="542"/>
      <c r="CP5" s="542"/>
      <c r="CQ5" s="542"/>
      <c r="CR5" s="542"/>
      <c r="CS5" s="542"/>
      <c r="CT5" s="542"/>
      <c r="CU5" s="542"/>
      <c r="CV5" s="542"/>
      <c r="CW5" s="542"/>
      <c r="CX5" s="542"/>
      <c r="CY5" s="542"/>
      <c r="CZ5" s="542"/>
      <c r="DA5" s="542"/>
      <c r="DB5" s="542"/>
      <c r="DC5" s="542"/>
      <c r="DD5" s="542"/>
      <c r="DE5" s="542"/>
      <c r="DF5" s="542"/>
      <c r="DG5" s="542"/>
      <c r="DH5" s="542"/>
      <c r="DI5" s="542"/>
      <c r="DJ5" s="542"/>
      <c r="DK5" s="542"/>
      <c r="DL5" s="542"/>
      <c r="DM5" s="542"/>
      <c r="DN5" s="542"/>
      <c r="DO5" s="542"/>
      <c r="DP5" s="542"/>
      <c r="DQ5" s="542"/>
      <c r="DR5" s="542"/>
      <c r="DS5" s="542"/>
      <c r="DT5" s="542"/>
      <c r="DU5" s="542"/>
      <c r="DV5" s="542"/>
      <c r="DW5" s="542"/>
      <c r="DX5" s="542"/>
      <c r="DY5" s="542"/>
      <c r="DZ5" s="542"/>
      <c r="EA5" s="542"/>
      <c r="EB5" s="542"/>
      <c r="EC5" s="542"/>
      <c r="ED5" s="542"/>
      <c r="EE5" s="542"/>
      <c r="EF5" s="542"/>
      <c r="EG5" s="542"/>
      <c r="EH5" s="542"/>
      <c r="EI5" s="542"/>
      <c r="EJ5" s="542"/>
      <c r="EK5" s="542"/>
      <c r="EL5" s="542"/>
      <c r="EM5" s="542"/>
      <c r="EN5" s="542"/>
      <c r="EO5" s="542"/>
      <c r="EP5" s="542"/>
      <c r="EQ5" s="542"/>
      <c r="ER5" s="542"/>
      <c r="ES5" s="542"/>
      <c r="ET5" s="542"/>
      <c r="EU5" s="542"/>
      <c r="EV5" s="542"/>
      <c r="EW5" s="542"/>
      <c r="EX5" s="542"/>
      <c r="EY5" s="542"/>
      <c r="EZ5" s="542"/>
      <c r="FA5" s="542"/>
      <c r="FB5" s="542"/>
      <c r="FC5" s="542"/>
      <c r="FD5" s="542"/>
      <c r="FE5" s="542"/>
      <c r="FF5" s="542"/>
      <c r="FG5" s="542"/>
      <c r="FH5" s="542"/>
      <c r="FI5" s="542"/>
      <c r="FJ5" s="542"/>
      <c r="FK5" s="542"/>
      <c r="FL5" s="542"/>
      <c r="FM5" s="542"/>
      <c r="FN5" s="542"/>
      <c r="FO5" s="542"/>
      <c r="FP5" s="542"/>
      <c r="FQ5" s="542"/>
      <c r="FR5" s="542"/>
      <c r="FS5" s="542"/>
      <c r="FT5" s="542"/>
      <c r="FU5" s="542"/>
      <c r="FV5" s="542"/>
      <c r="FW5" s="542"/>
      <c r="FX5" s="542"/>
      <c r="FY5" s="542"/>
      <c r="FZ5" s="542"/>
      <c r="GA5" s="542"/>
      <c r="GB5" s="542"/>
      <c r="GC5" s="542"/>
      <c r="GD5" s="542"/>
      <c r="GE5" s="542"/>
      <c r="GF5" s="542"/>
      <c r="GG5" s="542"/>
      <c r="GH5" s="542"/>
      <c r="GI5" s="542"/>
      <c r="GJ5" s="542"/>
      <c r="GK5" s="542"/>
      <c r="GL5" s="542"/>
      <c r="GM5" s="542"/>
      <c r="GN5" s="542"/>
      <c r="GO5" s="542"/>
      <c r="GP5" s="542"/>
      <c r="GQ5" s="542"/>
      <c r="GR5" s="542"/>
      <c r="GS5" s="542"/>
      <c r="GT5" s="542"/>
      <c r="GU5" s="542"/>
      <c r="GV5" s="542"/>
      <c r="GW5" s="542"/>
      <c r="GX5" s="542"/>
      <c r="GY5" s="542"/>
      <c r="GZ5" s="542"/>
      <c r="HA5" s="542"/>
      <c r="HB5" s="542"/>
      <c r="HC5" s="542"/>
      <c r="HD5" s="542"/>
      <c r="HE5" s="542"/>
      <c r="HF5" s="542"/>
      <c r="HG5" s="542"/>
      <c r="HH5" s="542"/>
      <c r="HI5" s="542"/>
      <c r="HJ5" s="542"/>
      <c r="HK5" s="542"/>
      <c r="HL5" s="542"/>
      <c r="HM5" s="542"/>
      <c r="HN5" s="542"/>
      <c r="HO5" s="542"/>
      <c r="HP5" s="542"/>
      <c r="HQ5" s="542"/>
      <c r="HR5" s="542"/>
      <c r="HS5" s="542"/>
      <c r="HT5" s="542"/>
      <c r="HU5" s="542"/>
      <c r="HV5" s="542"/>
      <c r="HW5" s="542"/>
      <c r="HX5" s="542"/>
      <c r="HY5" s="542"/>
      <c r="HZ5" s="542"/>
      <c r="IA5" s="542"/>
      <c r="IB5" s="542"/>
      <c r="IC5" s="542"/>
      <c r="ID5" s="542"/>
      <c r="IE5" s="542"/>
      <c r="IF5" s="542"/>
      <c r="IG5" s="542"/>
    </row>
    <row r="6" spans="1:241" ht="17.25">
      <c r="A6" s="531"/>
      <c r="B6" s="531"/>
      <c r="C6" s="531"/>
      <c r="D6" s="522"/>
      <c r="E6" s="522"/>
      <c r="F6" s="522"/>
      <c r="G6" s="543"/>
      <c r="H6" s="543"/>
      <c r="I6" s="544"/>
      <c r="J6" s="543"/>
      <c r="K6" s="545"/>
      <c r="L6" s="543"/>
      <c r="M6" s="543"/>
      <c r="N6" s="539"/>
      <c r="O6" s="543"/>
      <c r="P6" s="543"/>
      <c r="Q6" s="539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1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1"/>
      <c r="DB6" s="531"/>
      <c r="DC6" s="531"/>
      <c r="DD6" s="531"/>
      <c r="DE6" s="531"/>
      <c r="DF6" s="531"/>
      <c r="DG6" s="531"/>
      <c r="DH6" s="531"/>
      <c r="DI6" s="531"/>
      <c r="DJ6" s="531"/>
      <c r="DK6" s="531"/>
      <c r="DL6" s="531"/>
      <c r="DM6" s="531"/>
      <c r="DN6" s="531"/>
      <c r="DO6" s="531"/>
      <c r="DP6" s="531"/>
      <c r="DQ6" s="531"/>
      <c r="DR6" s="531"/>
      <c r="DS6" s="531"/>
      <c r="DT6" s="531"/>
      <c r="DU6" s="531"/>
      <c r="DV6" s="531"/>
      <c r="DW6" s="531"/>
      <c r="DX6" s="531"/>
      <c r="DY6" s="531"/>
      <c r="DZ6" s="531"/>
      <c r="EA6" s="531"/>
      <c r="EB6" s="531"/>
      <c r="EC6" s="531"/>
      <c r="ED6" s="531"/>
      <c r="EE6" s="531"/>
      <c r="EF6" s="531"/>
      <c r="EG6" s="531"/>
      <c r="EH6" s="531"/>
      <c r="EI6" s="531"/>
      <c r="EJ6" s="531"/>
      <c r="EK6" s="531"/>
      <c r="EL6" s="531"/>
      <c r="EM6" s="531"/>
      <c r="EN6" s="531"/>
      <c r="EO6" s="531"/>
      <c r="EP6" s="531"/>
      <c r="EQ6" s="531"/>
      <c r="ER6" s="531"/>
      <c r="ES6" s="531"/>
      <c r="ET6" s="531"/>
      <c r="EU6" s="531"/>
      <c r="EV6" s="531"/>
      <c r="EW6" s="531"/>
      <c r="EX6" s="531"/>
      <c r="EY6" s="531"/>
      <c r="EZ6" s="531"/>
      <c r="FA6" s="531"/>
      <c r="FB6" s="531"/>
      <c r="FC6" s="531"/>
      <c r="FD6" s="531"/>
      <c r="FE6" s="531"/>
      <c r="FF6" s="531"/>
      <c r="FG6" s="531"/>
      <c r="FH6" s="531"/>
      <c r="FI6" s="531"/>
      <c r="FJ6" s="531"/>
      <c r="FK6" s="531"/>
      <c r="FL6" s="531"/>
      <c r="FM6" s="531"/>
      <c r="FN6" s="531"/>
      <c r="FO6" s="531"/>
      <c r="FP6" s="531"/>
      <c r="FQ6" s="531"/>
      <c r="FR6" s="531"/>
      <c r="FS6" s="531"/>
      <c r="FT6" s="531"/>
      <c r="FU6" s="531"/>
      <c r="FV6" s="531"/>
      <c r="FW6" s="531"/>
      <c r="FX6" s="531"/>
      <c r="FY6" s="531"/>
      <c r="FZ6" s="531"/>
      <c r="GA6" s="531"/>
      <c r="GB6" s="531"/>
      <c r="GC6" s="531"/>
      <c r="GD6" s="531"/>
      <c r="GE6" s="531"/>
      <c r="GF6" s="531"/>
      <c r="GG6" s="531"/>
      <c r="GH6" s="531"/>
      <c r="GI6" s="531"/>
      <c r="GJ6" s="531"/>
      <c r="GK6" s="531"/>
      <c r="GL6" s="531"/>
      <c r="GM6" s="531"/>
      <c r="GN6" s="531"/>
      <c r="GO6" s="531"/>
      <c r="GP6" s="531"/>
      <c r="GQ6" s="531"/>
      <c r="GR6" s="531"/>
      <c r="GS6" s="531"/>
      <c r="GT6" s="531"/>
      <c r="GU6" s="531"/>
      <c r="GV6" s="531"/>
      <c r="GW6" s="531"/>
      <c r="GX6" s="531"/>
      <c r="GY6" s="531"/>
      <c r="GZ6" s="531"/>
      <c r="HA6" s="531"/>
      <c r="HB6" s="531"/>
      <c r="HC6" s="531"/>
      <c r="HD6" s="531"/>
      <c r="HE6" s="531"/>
      <c r="HF6" s="531"/>
      <c r="HG6" s="531"/>
      <c r="HH6" s="531"/>
      <c r="HI6" s="531"/>
      <c r="HJ6" s="531"/>
      <c r="HK6" s="531"/>
      <c r="HL6" s="531"/>
      <c r="HM6" s="531"/>
      <c r="HN6" s="531"/>
      <c r="HO6" s="531"/>
      <c r="HP6" s="531"/>
      <c r="HQ6" s="531"/>
      <c r="HR6" s="531"/>
      <c r="HS6" s="531"/>
      <c r="HT6" s="531"/>
      <c r="HU6" s="531"/>
      <c r="HV6" s="531"/>
      <c r="HW6" s="531"/>
      <c r="HX6" s="531"/>
      <c r="HY6" s="531"/>
      <c r="HZ6" s="531"/>
      <c r="IA6" s="531"/>
      <c r="IB6" s="531"/>
      <c r="IC6" s="531"/>
      <c r="ID6" s="531"/>
      <c r="IE6" s="531"/>
      <c r="IF6" s="531"/>
      <c r="IG6" s="531"/>
    </row>
    <row r="7" spans="1:241" ht="17.25">
      <c r="A7" s="542"/>
      <c r="B7" s="542"/>
      <c r="C7" s="1058" t="s">
        <v>1116</v>
      </c>
      <c r="D7" s="1058"/>
      <c r="E7" s="1058"/>
      <c r="F7" s="1058"/>
      <c r="G7" s="1058"/>
      <c r="H7" s="1058"/>
      <c r="I7" s="1058"/>
      <c r="J7" s="1058"/>
      <c r="K7" s="1058"/>
      <c r="L7" s="1058"/>
      <c r="M7" s="1058"/>
      <c r="N7" s="539"/>
      <c r="O7" s="542"/>
      <c r="P7" s="542"/>
      <c r="Q7" s="539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2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2"/>
      <c r="BH7" s="542"/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2"/>
      <c r="BU7" s="542"/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2"/>
      <c r="CH7" s="542"/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2"/>
      <c r="CU7" s="542"/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2"/>
      <c r="DJ7" s="542"/>
      <c r="DK7" s="542"/>
      <c r="DL7" s="542"/>
      <c r="DM7" s="542"/>
      <c r="DN7" s="542"/>
      <c r="DO7" s="542"/>
      <c r="DP7" s="542"/>
      <c r="DQ7" s="542"/>
      <c r="DR7" s="542"/>
      <c r="DS7" s="542"/>
      <c r="DT7" s="542"/>
      <c r="DU7" s="542"/>
      <c r="DV7" s="542"/>
      <c r="DW7" s="542"/>
      <c r="DX7" s="542"/>
      <c r="DY7" s="542"/>
      <c r="DZ7" s="542"/>
      <c r="EA7" s="542"/>
      <c r="EB7" s="542"/>
      <c r="EC7" s="542"/>
      <c r="ED7" s="542"/>
      <c r="EE7" s="542"/>
      <c r="EF7" s="542"/>
      <c r="EG7" s="542"/>
      <c r="EH7" s="542"/>
      <c r="EI7" s="542"/>
      <c r="EJ7" s="542"/>
      <c r="EK7" s="542"/>
      <c r="EL7" s="542"/>
      <c r="EM7" s="542"/>
      <c r="EN7" s="542"/>
      <c r="EO7" s="542"/>
      <c r="EP7" s="542"/>
      <c r="EQ7" s="542"/>
      <c r="ER7" s="542"/>
      <c r="ES7" s="542"/>
      <c r="ET7" s="542"/>
      <c r="EU7" s="542"/>
      <c r="EV7" s="542"/>
      <c r="EW7" s="542"/>
      <c r="EX7" s="542"/>
      <c r="EY7" s="542"/>
      <c r="EZ7" s="542"/>
      <c r="FA7" s="542"/>
      <c r="FB7" s="542"/>
      <c r="FC7" s="542"/>
      <c r="FD7" s="542"/>
      <c r="FE7" s="542"/>
      <c r="FF7" s="542"/>
      <c r="FG7" s="542"/>
      <c r="FH7" s="542"/>
      <c r="FI7" s="542"/>
      <c r="FJ7" s="542"/>
      <c r="FK7" s="542"/>
      <c r="FL7" s="542"/>
      <c r="FM7" s="542"/>
      <c r="FN7" s="542"/>
      <c r="FO7" s="542"/>
      <c r="FP7" s="542"/>
      <c r="FQ7" s="542"/>
      <c r="FR7" s="542"/>
      <c r="FS7" s="542"/>
      <c r="FT7" s="542"/>
      <c r="FU7" s="542"/>
      <c r="FV7" s="542"/>
      <c r="FW7" s="542"/>
      <c r="FX7" s="542"/>
      <c r="FY7" s="542"/>
      <c r="FZ7" s="542"/>
      <c r="GA7" s="542"/>
      <c r="GB7" s="542"/>
      <c r="GC7" s="542"/>
      <c r="GD7" s="542"/>
      <c r="GE7" s="542"/>
      <c r="GF7" s="542"/>
      <c r="GG7" s="542"/>
      <c r="GH7" s="542"/>
      <c r="GI7" s="542"/>
      <c r="GJ7" s="542"/>
      <c r="GK7" s="542"/>
      <c r="GL7" s="542"/>
      <c r="GM7" s="542"/>
      <c r="GN7" s="542"/>
      <c r="GO7" s="542"/>
      <c r="GP7" s="542"/>
      <c r="GQ7" s="542"/>
      <c r="GR7" s="542"/>
      <c r="GS7" s="542"/>
      <c r="GT7" s="542"/>
      <c r="GU7" s="542"/>
      <c r="GV7" s="542"/>
      <c r="GW7" s="542"/>
      <c r="GX7" s="542"/>
      <c r="GY7" s="542"/>
      <c r="GZ7" s="542"/>
      <c r="HA7" s="542"/>
      <c r="HB7" s="542"/>
      <c r="HC7" s="542"/>
      <c r="HD7" s="542"/>
      <c r="HE7" s="542"/>
      <c r="HF7" s="542"/>
      <c r="HG7" s="542"/>
      <c r="HH7" s="542"/>
      <c r="HI7" s="542"/>
      <c r="HJ7" s="542"/>
      <c r="HK7" s="542"/>
      <c r="HL7" s="542"/>
      <c r="HM7" s="542"/>
      <c r="HN7" s="542"/>
      <c r="HO7" s="542"/>
      <c r="HP7" s="542"/>
      <c r="HQ7" s="542"/>
      <c r="HR7" s="542"/>
      <c r="HS7" s="542"/>
      <c r="HT7" s="542"/>
      <c r="HU7" s="542"/>
      <c r="HV7" s="542"/>
      <c r="HW7" s="542"/>
      <c r="HX7" s="542"/>
      <c r="HY7" s="542"/>
      <c r="HZ7" s="542"/>
      <c r="IA7" s="542"/>
      <c r="IB7" s="542"/>
      <c r="IC7" s="542"/>
      <c r="ID7" s="542"/>
      <c r="IE7" s="542"/>
      <c r="IF7" s="542"/>
      <c r="IG7" s="542"/>
    </row>
    <row r="8" spans="1:241" ht="17.25">
      <c r="A8" s="542"/>
      <c r="B8" s="542"/>
      <c r="C8" s="1121" t="s">
        <v>287</v>
      </c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539"/>
      <c r="O8" s="542"/>
      <c r="P8" s="542"/>
      <c r="Q8" s="539"/>
      <c r="R8" s="542"/>
      <c r="S8" s="542"/>
      <c r="T8" s="542"/>
      <c r="U8" s="542"/>
      <c r="V8" s="542"/>
      <c r="W8" s="542"/>
      <c r="X8" s="542"/>
      <c r="Y8" s="542"/>
      <c r="Z8" s="542"/>
      <c r="AA8" s="542"/>
      <c r="AB8" s="542"/>
      <c r="AC8" s="542"/>
      <c r="AD8" s="542"/>
      <c r="AE8" s="542"/>
      <c r="AF8" s="542"/>
      <c r="AG8" s="542"/>
      <c r="AH8" s="542"/>
      <c r="AI8" s="542"/>
      <c r="AJ8" s="542"/>
      <c r="AK8" s="542"/>
      <c r="AL8" s="542"/>
      <c r="AM8" s="542"/>
      <c r="AN8" s="542"/>
      <c r="AO8" s="542"/>
      <c r="AP8" s="542"/>
      <c r="AQ8" s="542"/>
      <c r="AR8" s="542"/>
      <c r="AS8" s="542"/>
      <c r="AT8" s="542"/>
      <c r="AU8" s="542"/>
      <c r="AV8" s="542"/>
      <c r="AW8" s="542"/>
      <c r="AX8" s="542"/>
      <c r="AY8" s="542"/>
      <c r="AZ8" s="542"/>
      <c r="BA8" s="542"/>
      <c r="BB8" s="542"/>
      <c r="BC8" s="542"/>
      <c r="BD8" s="542"/>
      <c r="BE8" s="542"/>
      <c r="BF8" s="542"/>
      <c r="BG8" s="542"/>
      <c r="BH8" s="542"/>
      <c r="BI8" s="542"/>
      <c r="BJ8" s="542"/>
      <c r="BK8" s="542"/>
      <c r="BL8" s="542"/>
      <c r="BM8" s="542"/>
      <c r="BN8" s="542"/>
      <c r="BO8" s="542"/>
      <c r="BP8" s="542"/>
      <c r="BQ8" s="542"/>
      <c r="BR8" s="542"/>
      <c r="BS8" s="542"/>
      <c r="BT8" s="542"/>
      <c r="BU8" s="542"/>
      <c r="BV8" s="542"/>
      <c r="BW8" s="542"/>
      <c r="BX8" s="542"/>
      <c r="BY8" s="542"/>
      <c r="BZ8" s="542"/>
      <c r="CA8" s="542"/>
      <c r="CB8" s="542"/>
      <c r="CC8" s="542"/>
      <c r="CD8" s="542"/>
      <c r="CE8" s="542"/>
      <c r="CF8" s="542"/>
      <c r="CG8" s="542"/>
      <c r="CH8" s="542"/>
      <c r="CI8" s="542"/>
      <c r="CJ8" s="542"/>
      <c r="CK8" s="542"/>
      <c r="CL8" s="542"/>
      <c r="CM8" s="542"/>
      <c r="CN8" s="542"/>
      <c r="CO8" s="542"/>
      <c r="CP8" s="542"/>
      <c r="CQ8" s="542"/>
      <c r="CR8" s="542"/>
      <c r="CS8" s="542"/>
      <c r="CT8" s="542"/>
      <c r="CU8" s="542"/>
      <c r="CV8" s="542"/>
      <c r="CW8" s="542"/>
      <c r="CX8" s="542"/>
      <c r="CY8" s="542"/>
      <c r="CZ8" s="542"/>
      <c r="DA8" s="542"/>
      <c r="DB8" s="542"/>
      <c r="DC8" s="542"/>
      <c r="DD8" s="542"/>
      <c r="DE8" s="542"/>
      <c r="DF8" s="542"/>
      <c r="DG8" s="542"/>
      <c r="DH8" s="542"/>
      <c r="DI8" s="542"/>
      <c r="DJ8" s="542"/>
      <c r="DK8" s="542"/>
      <c r="DL8" s="542"/>
      <c r="DM8" s="542"/>
      <c r="DN8" s="542"/>
      <c r="DO8" s="542"/>
      <c r="DP8" s="542"/>
      <c r="DQ8" s="542"/>
      <c r="DR8" s="542"/>
      <c r="DS8" s="542"/>
      <c r="DT8" s="542"/>
      <c r="DU8" s="542"/>
      <c r="DV8" s="542"/>
      <c r="DW8" s="542"/>
      <c r="DX8" s="542"/>
      <c r="DY8" s="542"/>
      <c r="DZ8" s="542"/>
      <c r="EA8" s="542"/>
      <c r="EB8" s="542"/>
      <c r="EC8" s="542"/>
      <c r="ED8" s="542"/>
      <c r="EE8" s="542"/>
      <c r="EF8" s="542"/>
      <c r="EG8" s="542"/>
      <c r="EH8" s="542"/>
      <c r="EI8" s="542"/>
      <c r="EJ8" s="542"/>
      <c r="EK8" s="542"/>
      <c r="EL8" s="542"/>
      <c r="EM8" s="542"/>
      <c r="EN8" s="542"/>
      <c r="EO8" s="542"/>
      <c r="EP8" s="542"/>
      <c r="EQ8" s="542"/>
      <c r="ER8" s="542"/>
      <c r="ES8" s="542"/>
      <c r="ET8" s="542"/>
      <c r="EU8" s="542"/>
      <c r="EV8" s="542"/>
      <c r="EW8" s="542"/>
      <c r="EX8" s="542"/>
      <c r="EY8" s="542"/>
      <c r="EZ8" s="542"/>
      <c r="FA8" s="542"/>
      <c r="FB8" s="542"/>
      <c r="FC8" s="542"/>
      <c r="FD8" s="542"/>
      <c r="FE8" s="542"/>
      <c r="FF8" s="542"/>
      <c r="FG8" s="542"/>
      <c r="FH8" s="542"/>
      <c r="FI8" s="542"/>
      <c r="FJ8" s="542"/>
      <c r="FK8" s="542"/>
      <c r="FL8" s="542"/>
      <c r="FM8" s="542"/>
      <c r="FN8" s="542"/>
      <c r="FO8" s="542"/>
      <c r="FP8" s="542"/>
      <c r="FQ8" s="542"/>
      <c r="FR8" s="542"/>
      <c r="FS8" s="542"/>
      <c r="FT8" s="542"/>
      <c r="FU8" s="542"/>
      <c r="FV8" s="542"/>
      <c r="FW8" s="542"/>
      <c r="FX8" s="542"/>
      <c r="FY8" s="542"/>
      <c r="FZ8" s="542"/>
      <c r="GA8" s="542"/>
      <c r="GB8" s="542"/>
      <c r="GC8" s="542"/>
      <c r="GD8" s="542"/>
      <c r="GE8" s="542"/>
      <c r="GF8" s="542"/>
      <c r="GG8" s="542"/>
      <c r="GH8" s="542"/>
      <c r="GI8" s="542"/>
      <c r="GJ8" s="542"/>
      <c r="GK8" s="542"/>
      <c r="GL8" s="542"/>
      <c r="GM8" s="542"/>
      <c r="GN8" s="542"/>
      <c r="GO8" s="542"/>
      <c r="GP8" s="542"/>
      <c r="GQ8" s="542"/>
      <c r="GR8" s="542"/>
      <c r="GS8" s="542"/>
      <c r="GT8" s="542"/>
      <c r="GU8" s="542"/>
      <c r="GV8" s="542"/>
      <c r="GW8" s="542"/>
      <c r="GX8" s="542"/>
      <c r="GY8" s="542"/>
      <c r="GZ8" s="542"/>
      <c r="HA8" s="542"/>
      <c r="HB8" s="542"/>
      <c r="HC8" s="542"/>
      <c r="HD8" s="542"/>
      <c r="HE8" s="542"/>
      <c r="HF8" s="542"/>
      <c r="HG8" s="542"/>
      <c r="HH8" s="542"/>
      <c r="HI8" s="542"/>
      <c r="HJ8" s="542"/>
      <c r="HK8" s="542"/>
      <c r="HL8" s="542"/>
      <c r="HM8" s="542"/>
      <c r="HN8" s="542"/>
      <c r="HO8" s="542"/>
      <c r="HP8" s="542"/>
      <c r="HQ8" s="542"/>
      <c r="HR8" s="542"/>
      <c r="HS8" s="542"/>
      <c r="HT8" s="542"/>
      <c r="HU8" s="542"/>
      <c r="HV8" s="542"/>
      <c r="HW8" s="542"/>
      <c r="HX8" s="542"/>
      <c r="HY8" s="542"/>
      <c r="HZ8" s="542"/>
      <c r="IA8" s="542"/>
      <c r="IB8" s="542"/>
      <c r="IC8" s="542"/>
      <c r="ID8" s="542"/>
      <c r="IE8" s="542"/>
      <c r="IF8" s="542"/>
      <c r="IG8" s="542"/>
    </row>
    <row r="9" spans="1:241" ht="17.25">
      <c r="A9" s="542"/>
      <c r="B9" s="542"/>
      <c r="C9" s="542"/>
      <c r="D9" s="523"/>
      <c r="E9" s="523"/>
      <c r="F9" s="522"/>
      <c r="G9" s="546"/>
      <c r="H9" s="546"/>
      <c r="I9" s="547"/>
      <c r="J9" s="546"/>
      <c r="K9" s="548"/>
      <c r="L9" s="546"/>
      <c r="M9" s="546"/>
      <c r="N9" s="542"/>
      <c r="O9" s="546"/>
      <c r="P9" s="546"/>
      <c r="Q9" s="542"/>
      <c r="R9" s="542"/>
      <c r="S9" s="542"/>
      <c r="T9" s="542"/>
      <c r="U9" s="542"/>
      <c r="V9" s="542"/>
      <c r="W9" s="542"/>
      <c r="X9" s="542"/>
      <c r="Y9" s="542"/>
      <c r="Z9" s="542"/>
      <c r="AA9" s="542"/>
      <c r="AB9" s="542"/>
      <c r="AC9" s="542"/>
      <c r="AD9" s="542"/>
      <c r="AE9" s="542"/>
      <c r="AF9" s="542"/>
      <c r="AG9" s="542"/>
      <c r="AH9" s="542"/>
      <c r="AI9" s="542"/>
      <c r="AJ9" s="542"/>
      <c r="AK9" s="542"/>
      <c r="AL9" s="542"/>
      <c r="AM9" s="542"/>
      <c r="AN9" s="542"/>
      <c r="AO9" s="542"/>
      <c r="AP9" s="542"/>
      <c r="AQ9" s="542"/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2"/>
      <c r="BC9" s="542"/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2"/>
      <c r="BP9" s="542"/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2"/>
      <c r="CB9" s="542"/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2"/>
      <c r="CO9" s="542"/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2"/>
      <c r="DA9" s="542"/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2"/>
      <c r="DN9" s="542"/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2"/>
      <c r="DZ9" s="542"/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2"/>
      <c r="EM9" s="542"/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2"/>
      <c r="EY9" s="542"/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2"/>
      <c r="FL9" s="542"/>
      <c r="FM9" s="542"/>
      <c r="FN9" s="542"/>
      <c r="FO9" s="542"/>
      <c r="FP9" s="542"/>
      <c r="FQ9" s="542"/>
      <c r="FR9" s="542"/>
      <c r="FS9" s="542"/>
      <c r="FT9" s="542"/>
      <c r="FU9" s="542"/>
      <c r="FV9" s="542"/>
      <c r="FW9" s="542"/>
      <c r="FX9" s="542"/>
      <c r="FY9" s="542"/>
      <c r="FZ9" s="542"/>
      <c r="GA9" s="542"/>
      <c r="GB9" s="542"/>
      <c r="GC9" s="542"/>
      <c r="GD9" s="542"/>
      <c r="GE9" s="542"/>
      <c r="GF9" s="542"/>
      <c r="GG9" s="542"/>
      <c r="GH9" s="542"/>
      <c r="GI9" s="542"/>
      <c r="GJ9" s="542"/>
      <c r="GK9" s="542"/>
      <c r="GL9" s="542"/>
      <c r="GM9" s="542"/>
      <c r="GN9" s="542"/>
      <c r="GO9" s="542"/>
      <c r="GP9" s="542"/>
      <c r="GQ9" s="542"/>
      <c r="GR9" s="542"/>
      <c r="GS9" s="542"/>
      <c r="GT9" s="542"/>
      <c r="GU9" s="542"/>
      <c r="GV9" s="542"/>
      <c r="GW9" s="542"/>
      <c r="GX9" s="542"/>
      <c r="GY9" s="542"/>
      <c r="GZ9" s="542"/>
      <c r="HA9" s="542"/>
      <c r="HB9" s="542"/>
      <c r="HC9" s="542"/>
      <c r="HD9" s="542"/>
      <c r="HE9" s="542"/>
      <c r="HF9" s="542"/>
      <c r="HG9" s="542"/>
      <c r="HH9" s="542"/>
      <c r="HI9" s="542"/>
      <c r="HJ9" s="542"/>
      <c r="HK9" s="542"/>
      <c r="HL9" s="542"/>
      <c r="HM9" s="542"/>
      <c r="HN9" s="542"/>
      <c r="HO9" s="542"/>
      <c r="HP9" s="542"/>
      <c r="HQ9" s="542"/>
      <c r="HR9" s="542"/>
      <c r="HS9" s="542"/>
      <c r="HT9" s="542"/>
      <c r="HU9" s="542"/>
      <c r="HV9" s="542"/>
      <c r="HW9" s="542"/>
      <c r="HX9" s="542"/>
      <c r="HY9" s="542"/>
      <c r="HZ9" s="542"/>
      <c r="IA9" s="542"/>
      <c r="IB9" s="542"/>
      <c r="IC9" s="542"/>
      <c r="ID9" s="542"/>
      <c r="IE9" s="542"/>
      <c r="IF9" s="542"/>
      <c r="IG9" s="542"/>
    </row>
    <row r="10" spans="1:241" ht="18" thickBot="1">
      <c r="A10" s="542"/>
      <c r="B10" s="542"/>
      <c r="C10" s="549"/>
      <c r="D10" s="523"/>
      <c r="E10" s="523"/>
      <c r="F10" s="522"/>
      <c r="G10" s="546"/>
      <c r="H10" s="546"/>
      <c r="I10" s="547"/>
      <c r="J10" s="546"/>
      <c r="K10" s="548"/>
      <c r="L10" s="546"/>
      <c r="M10" s="546"/>
      <c r="N10" s="542"/>
      <c r="O10" s="546"/>
      <c r="P10" s="546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542"/>
      <c r="AK10" s="542"/>
      <c r="AL10" s="542"/>
      <c r="AM10" s="542"/>
      <c r="AN10" s="542"/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2"/>
      <c r="BG10" s="542"/>
      <c r="BH10" s="542"/>
      <c r="BI10" s="542"/>
      <c r="BJ10" s="542"/>
      <c r="BK10" s="542"/>
      <c r="BL10" s="542"/>
      <c r="BM10" s="542"/>
      <c r="BN10" s="542"/>
      <c r="BO10" s="542"/>
      <c r="BP10" s="542"/>
      <c r="BQ10" s="542"/>
      <c r="BR10" s="542"/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2"/>
      <c r="DN10" s="542"/>
      <c r="DO10" s="542"/>
      <c r="DP10" s="542"/>
      <c r="DQ10" s="542"/>
      <c r="DR10" s="542"/>
      <c r="DS10" s="542"/>
      <c r="DT10" s="542"/>
      <c r="DU10" s="542"/>
      <c r="DV10" s="542"/>
      <c r="DW10" s="542"/>
      <c r="DX10" s="542"/>
      <c r="DY10" s="542"/>
      <c r="DZ10" s="542"/>
      <c r="EA10" s="542"/>
      <c r="EB10" s="542"/>
      <c r="EC10" s="542"/>
      <c r="ED10" s="542"/>
      <c r="EE10" s="542"/>
      <c r="EF10" s="542"/>
      <c r="EG10" s="542"/>
      <c r="EH10" s="542"/>
      <c r="EI10" s="542"/>
      <c r="EJ10" s="542"/>
      <c r="EK10" s="542"/>
      <c r="EL10" s="542"/>
      <c r="EM10" s="542"/>
      <c r="EN10" s="542"/>
      <c r="EO10" s="542"/>
      <c r="EP10" s="542"/>
      <c r="EQ10" s="542"/>
      <c r="ER10" s="542"/>
      <c r="ES10" s="542"/>
      <c r="ET10" s="542"/>
      <c r="EU10" s="542"/>
      <c r="EV10" s="542"/>
      <c r="EW10" s="542"/>
      <c r="EX10" s="542"/>
      <c r="EY10" s="542"/>
      <c r="EZ10" s="542"/>
      <c r="FA10" s="542"/>
      <c r="FB10" s="542"/>
      <c r="FC10" s="542"/>
      <c r="FD10" s="542"/>
      <c r="FE10" s="542"/>
      <c r="FF10" s="542"/>
      <c r="FG10" s="542"/>
      <c r="FH10" s="542"/>
      <c r="FI10" s="542"/>
      <c r="FJ10" s="542"/>
      <c r="FK10" s="542"/>
      <c r="FL10" s="542"/>
      <c r="FM10" s="542"/>
      <c r="FN10" s="542"/>
      <c r="FO10" s="542"/>
      <c r="FP10" s="542"/>
      <c r="FQ10" s="542"/>
      <c r="FR10" s="542"/>
      <c r="FS10" s="542"/>
      <c r="FT10" s="542"/>
      <c r="FU10" s="542"/>
      <c r="FV10" s="542"/>
      <c r="FW10" s="542"/>
      <c r="FX10" s="542"/>
      <c r="FY10" s="542"/>
      <c r="FZ10" s="542"/>
      <c r="GA10" s="542"/>
      <c r="GB10" s="542"/>
      <c r="GC10" s="542"/>
      <c r="GD10" s="542"/>
      <c r="GE10" s="542"/>
      <c r="GF10" s="542"/>
      <c r="GG10" s="542"/>
      <c r="GH10" s="542"/>
      <c r="GI10" s="542"/>
      <c r="GJ10" s="542"/>
      <c r="GK10" s="542"/>
      <c r="GL10" s="542"/>
      <c r="GM10" s="542"/>
      <c r="GN10" s="542"/>
      <c r="GO10" s="542"/>
      <c r="GP10" s="542"/>
      <c r="GQ10" s="542"/>
      <c r="GR10" s="542"/>
      <c r="GS10" s="542"/>
      <c r="GT10" s="542"/>
      <c r="GU10" s="542"/>
      <c r="GV10" s="542"/>
      <c r="GW10" s="542"/>
      <c r="GX10" s="542"/>
      <c r="GY10" s="542"/>
      <c r="GZ10" s="542"/>
      <c r="HA10" s="542"/>
      <c r="HB10" s="542"/>
      <c r="HC10" s="542"/>
      <c r="HD10" s="542"/>
      <c r="HE10" s="542"/>
      <c r="HF10" s="542"/>
      <c r="HG10" s="542"/>
      <c r="HH10" s="542"/>
      <c r="HI10" s="542"/>
      <c r="HJ10" s="542"/>
      <c r="HK10" s="542"/>
      <c r="HL10" s="542"/>
      <c r="HM10" s="542"/>
      <c r="HN10" s="542"/>
      <c r="HO10" s="542"/>
      <c r="HP10" s="542"/>
      <c r="HQ10" s="542"/>
      <c r="HR10" s="542"/>
      <c r="HS10" s="542"/>
      <c r="HT10" s="542"/>
      <c r="HU10" s="542"/>
      <c r="HV10" s="542"/>
      <c r="HW10" s="542"/>
      <c r="HX10" s="542"/>
      <c r="HY10" s="542"/>
      <c r="HZ10" s="542"/>
      <c r="IA10" s="542"/>
      <c r="IB10" s="542"/>
      <c r="IC10" s="542"/>
      <c r="ID10" s="542"/>
      <c r="IE10" s="542"/>
      <c r="IF10" s="542"/>
      <c r="IG10" s="542"/>
    </row>
    <row r="11" spans="1:241" ht="52.5" thickBot="1">
      <c r="A11" s="550"/>
      <c r="B11" s="550"/>
      <c r="C11" s="550"/>
      <c r="D11" s="551"/>
      <c r="E11" s="552" t="s">
        <v>273</v>
      </c>
      <c r="F11" s="553"/>
      <c r="G11" s="1122" t="s">
        <v>288</v>
      </c>
      <c r="H11" s="1122"/>
      <c r="I11" s="1122"/>
      <c r="J11" s="1122"/>
      <c r="K11" s="1123"/>
      <c r="L11" s="1117" t="s">
        <v>849</v>
      </c>
      <c r="M11" s="1118"/>
      <c r="N11" s="1119"/>
      <c r="O11" s="1117" t="s">
        <v>850</v>
      </c>
      <c r="P11" s="1118"/>
      <c r="Q11" s="1119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  <c r="DG11" s="531"/>
      <c r="DH11" s="531"/>
      <c r="DI11" s="531"/>
      <c r="DJ11" s="531"/>
      <c r="DK11" s="531"/>
      <c r="DL11" s="531"/>
      <c r="DM11" s="531"/>
      <c r="DN11" s="531"/>
      <c r="DO11" s="531"/>
      <c r="DP11" s="531"/>
      <c r="DQ11" s="531"/>
      <c r="DR11" s="531"/>
      <c r="DS11" s="531"/>
      <c r="DT11" s="531"/>
      <c r="DU11" s="531"/>
      <c r="DV11" s="531"/>
      <c r="DW11" s="531"/>
      <c r="DX11" s="531"/>
      <c r="DY11" s="531"/>
      <c r="DZ11" s="531"/>
      <c r="EA11" s="531"/>
      <c r="EB11" s="531"/>
      <c r="EC11" s="531"/>
      <c r="ED11" s="531"/>
      <c r="EE11" s="531"/>
      <c r="EF11" s="531"/>
      <c r="EG11" s="531"/>
      <c r="EH11" s="531"/>
      <c r="EI11" s="531"/>
      <c r="EJ11" s="531"/>
      <c r="EK11" s="531"/>
      <c r="EL11" s="531"/>
      <c r="EM11" s="531"/>
      <c r="EN11" s="531"/>
      <c r="EO11" s="531"/>
      <c r="EP11" s="531"/>
      <c r="EQ11" s="531"/>
      <c r="ER11" s="531"/>
      <c r="ES11" s="531"/>
      <c r="ET11" s="531"/>
      <c r="EU11" s="531"/>
      <c r="EV11" s="531"/>
      <c r="EW11" s="531"/>
      <c r="EX11" s="531"/>
      <c r="EY11" s="531"/>
      <c r="EZ11" s="531"/>
      <c r="FA11" s="531"/>
      <c r="FB11" s="531"/>
      <c r="FC11" s="531"/>
      <c r="FD11" s="531"/>
      <c r="FE11" s="531"/>
      <c r="FF11" s="531"/>
      <c r="FG11" s="531"/>
      <c r="FH11" s="531"/>
      <c r="FI11" s="531"/>
      <c r="FJ11" s="531"/>
      <c r="FK11" s="531"/>
      <c r="FL11" s="531"/>
      <c r="FM11" s="531"/>
      <c r="FN11" s="531"/>
      <c r="FO11" s="531"/>
      <c r="FP11" s="531"/>
      <c r="FQ11" s="531"/>
      <c r="FR11" s="531"/>
      <c r="FS11" s="531"/>
      <c r="FT11" s="531"/>
      <c r="FU11" s="531"/>
      <c r="FV11" s="531"/>
      <c r="FW11" s="531"/>
      <c r="FX11" s="531"/>
      <c r="FY11" s="531"/>
      <c r="FZ11" s="531"/>
      <c r="GA11" s="531"/>
      <c r="GB11" s="531"/>
      <c r="GC11" s="531"/>
      <c r="GD11" s="531"/>
      <c r="GE11" s="531"/>
      <c r="GF11" s="531"/>
      <c r="GG11" s="531"/>
      <c r="GH11" s="531"/>
      <c r="GI11" s="531"/>
      <c r="GJ11" s="531"/>
      <c r="GK11" s="531"/>
      <c r="GL11" s="531"/>
      <c r="GM11" s="531"/>
      <c r="GN11" s="531"/>
      <c r="GO11" s="531"/>
      <c r="GP11" s="531"/>
      <c r="GQ11" s="531"/>
      <c r="GR11" s="531"/>
      <c r="GS11" s="531"/>
      <c r="GT11" s="531"/>
      <c r="GU11" s="531"/>
      <c r="GV11" s="531"/>
      <c r="GW11" s="531"/>
      <c r="GX11" s="531"/>
      <c r="GY11" s="531"/>
      <c r="GZ11" s="531"/>
      <c r="HA11" s="531"/>
      <c r="HB11" s="531"/>
      <c r="HC11" s="531"/>
      <c r="HD11" s="531"/>
      <c r="HE11" s="531"/>
      <c r="HF11" s="531"/>
      <c r="HG11" s="531"/>
      <c r="HH11" s="531"/>
      <c r="HI11" s="531"/>
      <c r="HJ11" s="531"/>
      <c r="HK11" s="531"/>
      <c r="HL11" s="531"/>
      <c r="HM11" s="531"/>
      <c r="HN11" s="531"/>
      <c r="HO11" s="531"/>
      <c r="HP11" s="531"/>
      <c r="HQ11" s="531"/>
      <c r="HR11" s="531"/>
      <c r="HS11" s="531"/>
      <c r="HT11" s="531"/>
      <c r="HU11" s="531"/>
      <c r="HV11" s="531"/>
      <c r="HW11" s="531"/>
      <c r="HX11" s="531"/>
      <c r="HY11" s="531"/>
      <c r="HZ11" s="531"/>
      <c r="IA11" s="531"/>
      <c r="IB11" s="531"/>
      <c r="IC11" s="531"/>
      <c r="ID11" s="531"/>
      <c r="IE11" s="531"/>
      <c r="IF11" s="531"/>
      <c r="IG11" s="531"/>
    </row>
    <row r="12" spans="1:241" ht="120.75">
      <c r="A12" s="554" t="s">
        <v>270</v>
      </c>
      <c r="B12" s="554" t="s">
        <v>271</v>
      </c>
      <c r="C12" s="554" t="s">
        <v>272</v>
      </c>
      <c r="D12" s="555"/>
      <c r="E12" s="554" t="s">
        <v>274</v>
      </c>
      <c r="F12" s="556" t="s">
        <v>113</v>
      </c>
      <c r="G12" s="557" t="s">
        <v>109</v>
      </c>
      <c r="H12" s="554" t="s">
        <v>114</v>
      </c>
      <c r="I12" s="558" t="s">
        <v>115</v>
      </c>
      <c r="J12" s="554" t="s">
        <v>286</v>
      </c>
      <c r="K12" s="559" t="s">
        <v>285</v>
      </c>
      <c r="L12" s="554" t="s">
        <v>109</v>
      </c>
      <c r="M12" s="554" t="s">
        <v>110</v>
      </c>
      <c r="N12" s="554" t="s">
        <v>111</v>
      </c>
      <c r="O12" s="554" t="s">
        <v>109</v>
      </c>
      <c r="P12" s="554" t="s">
        <v>110</v>
      </c>
      <c r="Q12" s="554" t="s">
        <v>111</v>
      </c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0"/>
      <c r="BD12" s="560"/>
      <c r="BE12" s="560"/>
      <c r="BF12" s="560"/>
      <c r="BG12" s="560"/>
      <c r="BH12" s="560"/>
      <c r="BI12" s="560"/>
      <c r="BJ12" s="560"/>
      <c r="BK12" s="560"/>
      <c r="BL12" s="560"/>
      <c r="BM12" s="560"/>
      <c r="BN12" s="560"/>
      <c r="BO12" s="560"/>
      <c r="BP12" s="560"/>
      <c r="BQ12" s="560"/>
      <c r="BR12" s="560"/>
      <c r="BS12" s="560"/>
      <c r="BT12" s="560"/>
      <c r="BU12" s="560"/>
      <c r="BV12" s="560"/>
      <c r="BW12" s="560"/>
      <c r="BX12" s="560"/>
      <c r="BY12" s="560"/>
      <c r="BZ12" s="560"/>
      <c r="CA12" s="560"/>
      <c r="CB12" s="560"/>
      <c r="CC12" s="560"/>
      <c r="CD12" s="560"/>
      <c r="CE12" s="560"/>
      <c r="CF12" s="560"/>
      <c r="CG12" s="560"/>
      <c r="CH12" s="560"/>
      <c r="CI12" s="560"/>
      <c r="CJ12" s="560"/>
      <c r="CK12" s="560"/>
      <c r="CL12" s="560"/>
      <c r="CM12" s="560"/>
      <c r="CN12" s="560"/>
      <c r="CO12" s="560"/>
      <c r="CP12" s="560"/>
      <c r="CQ12" s="560"/>
      <c r="CR12" s="560"/>
      <c r="CS12" s="560"/>
      <c r="CT12" s="560"/>
      <c r="CU12" s="560"/>
      <c r="CV12" s="560"/>
      <c r="CW12" s="560"/>
      <c r="CX12" s="560"/>
      <c r="CY12" s="560"/>
      <c r="CZ12" s="560"/>
      <c r="DA12" s="560"/>
      <c r="DB12" s="560"/>
      <c r="DC12" s="560"/>
      <c r="DD12" s="560"/>
      <c r="DE12" s="560"/>
      <c r="DF12" s="560"/>
      <c r="DG12" s="560"/>
      <c r="DH12" s="560"/>
      <c r="DI12" s="560"/>
      <c r="DJ12" s="560"/>
      <c r="DK12" s="560"/>
      <c r="DL12" s="560"/>
      <c r="DM12" s="560"/>
      <c r="DN12" s="560"/>
      <c r="DO12" s="560"/>
      <c r="DP12" s="560"/>
      <c r="DQ12" s="560"/>
      <c r="DR12" s="560"/>
      <c r="DS12" s="560"/>
      <c r="DT12" s="560"/>
      <c r="DU12" s="560"/>
      <c r="DV12" s="560"/>
      <c r="DW12" s="560"/>
      <c r="DX12" s="560"/>
      <c r="DY12" s="560"/>
      <c r="DZ12" s="560"/>
      <c r="EA12" s="560"/>
      <c r="EB12" s="560"/>
      <c r="EC12" s="560"/>
      <c r="ED12" s="560"/>
      <c r="EE12" s="560"/>
      <c r="EF12" s="560"/>
      <c r="EG12" s="560"/>
      <c r="EH12" s="560"/>
      <c r="EI12" s="560"/>
      <c r="EJ12" s="560"/>
      <c r="EK12" s="560"/>
      <c r="EL12" s="560"/>
      <c r="EM12" s="560"/>
      <c r="EN12" s="560"/>
      <c r="EO12" s="560"/>
      <c r="EP12" s="560"/>
      <c r="EQ12" s="560"/>
      <c r="ER12" s="560"/>
      <c r="ES12" s="560"/>
      <c r="ET12" s="560"/>
      <c r="EU12" s="560"/>
      <c r="EV12" s="560"/>
      <c r="EW12" s="560"/>
      <c r="EX12" s="560"/>
      <c r="EY12" s="560"/>
      <c r="EZ12" s="560"/>
      <c r="FA12" s="560"/>
      <c r="FB12" s="560"/>
      <c r="FC12" s="560"/>
      <c r="FD12" s="560"/>
      <c r="FE12" s="560"/>
      <c r="FF12" s="560"/>
      <c r="FG12" s="560"/>
      <c r="FH12" s="560"/>
      <c r="FI12" s="560"/>
      <c r="FJ12" s="560"/>
      <c r="FK12" s="560"/>
      <c r="FL12" s="560"/>
      <c r="FM12" s="560"/>
      <c r="FN12" s="560"/>
      <c r="FO12" s="560"/>
      <c r="FP12" s="560"/>
      <c r="FQ12" s="560"/>
      <c r="FR12" s="560"/>
      <c r="FS12" s="560"/>
      <c r="FT12" s="560"/>
      <c r="FU12" s="560"/>
      <c r="FV12" s="560"/>
      <c r="FW12" s="560"/>
      <c r="FX12" s="560"/>
      <c r="FY12" s="560"/>
      <c r="FZ12" s="560"/>
      <c r="GA12" s="560"/>
      <c r="GB12" s="560"/>
      <c r="GC12" s="560"/>
      <c r="GD12" s="560"/>
      <c r="GE12" s="560"/>
      <c r="GF12" s="560"/>
      <c r="GG12" s="560"/>
      <c r="GH12" s="560"/>
      <c r="GI12" s="560"/>
      <c r="GJ12" s="560"/>
      <c r="GK12" s="560"/>
      <c r="GL12" s="560"/>
      <c r="GM12" s="560"/>
      <c r="GN12" s="560"/>
      <c r="GO12" s="560"/>
      <c r="GP12" s="560"/>
      <c r="GQ12" s="560"/>
      <c r="GR12" s="560"/>
      <c r="GS12" s="560"/>
      <c r="GT12" s="560"/>
      <c r="GU12" s="560"/>
      <c r="GV12" s="560"/>
      <c r="GW12" s="560"/>
      <c r="GX12" s="560"/>
      <c r="GY12" s="560"/>
      <c r="GZ12" s="560"/>
      <c r="HA12" s="560"/>
      <c r="HB12" s="560"/>
      <c r="HC12" s="560"/>
      <c r="HD12" s="560"/>
      <c r="HE12" s="560"/>
      <c r="HF12" s="560"/>
      <c r="HG12" s="560"/>
      <c r="HH12" s="560"/>
      <c r="HI12" s="560"/>
      <c r="HJ12" s="560"/>
      <c r="HK12" s="560"/>
      <c r="HL12" s="560"/>
      <c r="HM12" s="560"/>
      <c r="HN12" s="560"/>
      <c r="HO12" s="560"/>
      <c r="HP12" s="560"/>
      <c r="HQ12" s="560"/>
      <c r="HR12" s="560"/>
      <c r="HS12" s="560"/>
      <c r="HT12" s="560"/>
      <c r="HU12" s="560"/>
      <c r="HV12" s="560"/>
      <c r="HW12" s="560"/>
      <c r="HX12" s="560"/>
      <c r="HY12" s="560"/>
      <c r="HZ12" s="560"/>
      <c r="IA12" s="560"/>
      <c r="IB12" s="560"/>
      <c r="IC12" s="560"/>
      <c r="ID12" s="560"/>
      <c r="IE12" s="560"/>
      <c r="IF12" s="560"/>
      <c r="IG12" s="560"/>
    </row>
    <row r="13" spans="1:241" ht="17.25">
      <c r="A13" s="561">
        <v>1</v>
      </c>
      <c r="B13" s="561">
        <v>2</v>
      </c>
      <c r="C13" s="561">
        <v>3</v>
      </c>
      <c r="D13" s="561">
        <v>4</v>
      </c>
      <c r="E13" s="561">
        <v>5</v>
      </c>
      <c r="F13" s="561">
        <v>6</v>
      </c>
      <c r="G13" s="561">
        <v>7</v>
      </c>
      <c r="H13" s="561">
        <v>8</v>
      </c>
      <c r="I13" s="562">
        <v>9</v>
      </c>
      <c r="J13" s="561">
        <v>11</v>
      </c>
      <c r="K13" s="563">
        <v>12</v>
      </c>
      <c r="L13" s="561">
        <v>13</v>
      </c>
      <c r="M13" s="561">
        <v>14</v>
      </c>
      <c r="N13" s="561">
        <v>15</v>
      </c>
      <c r="O13" s="561">
        <v>16</v>
      </c>
      <c r="P13" s="561">
        <v>17</v>
      </c>
      <c r="Q13" s="561">
        <v>18</v>
      </c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4"/>
      <c r="CO13" s="564"/>
      <c r="CP13" s="564"/>
      <c r="CQ13" s="564"/>
      <c r="CR13" s="564"/>
      <c r="CS13" s="564"/>
      <c r="CT13" s="564"/>
      <c r="CU13" s="564"/>
      <c r="CV13" s="564"/>
      <c r="CW13" s="564"/>
      <c r="CX13" s="564"/>
      <c r="CY13" s="564"/>
      <c r="CZ13" s="564"/>
      <c r="DA13" s="564"/>
      <c r="DB13" s="564"/>
      <c r="DC13" s="564"/>
      <c r="DD13" s="564"/>
      <c r="DE13" s="564"/>
      <c r="DF13" s="564"/>
      <c r="DG13" s="564"/>
      <c r="DH13" s="564"/>
      <c r="DI13" s="564"/>
      <c r="DJ13" s="564"/>
      <c r="DK13" s="564"/>
      <c r="DL13" s="564"/>
      <c r="DM13" s="564"/>
      <c r="DN13" s="564"/>
      <c r="DO13" s="564"/>
      <c r="DP13" s="564"/>
      <c r="DQ13" s="564"/>
      <c r="DR13" s="564"/>
      <c r="DS13" s="564"/>
      <c r="DT13" s="564"/>
      <c r="DU13" s="564"/>
      <c r="DV13" s="564"/>
      <c r="DW13" s="564"/>
      <c r="DX13" s="564"/>
      <c r="DY13" s="564"/>
      <c r="DZ13" s="564"/>
      <c r="EA13" s="564"/>
      <c r="EB13" s="564"/>
      <c r="EC13" s="564"/>
      <c r="ED13" s="564"/>
      <c r="EE13" s="564"/>
      <c r="EF13" s="564"/>
      <c r="EG13" s="564"/>
      <c r="EH13" s="564"/>
      <c r="EI13" s="564"/>
      <c r="EJ13" s="564"/>
      <c r="EK13" s="564"/>
      <c r="EL13" s="564"/>
      <c r="EM13" s="564"/>
      <c r="EN13" s="564"/>
      <c r="EO13" s="564"/>
      <c r="EP13" s="564"/>
      <c r="EQ13" s="564"/>
      <c r="ER13" s="564"/>
      <c r="ES13" s="564"/>
      <c r="ET13" s="564"/>
      <c r="EU13" s="564"/>
      <c r="EV13" s="564"/>
      <c r="EW13" s="564"/>
      <c r="EX13" s="564"/>
      <c r="EY13" s="564"/>
      <c r="EZ13" s="564"/>
      <c r="FA13" s="564"/>
      <c r="FB13" s="564"/>
      <c r="FC13" s="564"/>
      <c r="FD13" s="564"/>
      <c r="FE13" s="564"/>
      <c r="FF13" s="564"/>
      <c r="FG13" s="564"/>
      <c r="FH13" s="564"/>
      <c r="FI13" s="564"/>
      <c r="FJ13" s="564"/>
      <c r="FK13" s="564"/>
      <c r="FL13" s="564"/>
      <c r="FM13" s="564"/>
      <c r="FN13" s="564"/>
      <c r="FO13" s="564"/>
      <c r="FP13" s="564"/>
      <c r="FQ13" s="564"/>
      <c r="FR13" s="564"/>
      <c r="FS13" s="564"/>
      <c r="FT13" s="564"/>
      <c r="FU13" s="564"/>
      <c r="FV13" s="564"/>
      <c r="FW13" s="564"/>
      <c r="FX13" s="564"/>
      <c r="FY13" s="564"/>
      <c r="FZ13" s="564"/>
      <c r="GA13" s="564"/>
      <c r="GB13" s="564"/>
      <c r="GC13" s="564"/>
      <c r="GD13" s="564"/>
      <c r="GE13" s="564"/>
      <c r="GF13" s="564"/>
      <c r="GG13" s="564"/>
      <c r="GH13" s="564"/>
      <c r="GI13" s="564"/>
      <c r="GJ13" s="564"/>
      <c r="GK13" s="564"/>
      <c r="GL13" s="564"/>
      <c r="GM13" s="564"/>
      <c r="GN13" s="564"/>
      <c r="GO13" s="564"/>
      <c r="GP13" s="564"/>
      <c r="GQ13" s="564"/>
      <c r="GR13" s="564"/>
      <c r="GS13" s="564"/>
      <c r="GT13" s="564"/>
      <c r="GU13" s="564"/>
      <c r="GV13" s="564"/>
      <c r="GW13" s="564"/>
      <c r="GX13" s="564"/>
      <c r="GY13" s="564"/>
      <c r="GZ13" s="564"/>
      <c r="HA13" s="564"/>
      <c r="HB13" s="564"/>
      <c r="HC13" s="564"/>
      <c r="HD13" s="564"/>
      <c r="HE13" s="564"/>
      <c r="HF13" s="564"/>
      <c r="HG13" s="564"/>
      <c r="HH13" s="564"/>
      <c r="HI13" s="564"/>
      <c r="HJ13" s="564"/>
      <c r="HK13" s="564"/>
      <c r="HL13" s="564"/>
      <c r="HM13" s="564"/>
      <c r="HN13" s="564"/>
      <c r="HO13" s="564"/>
      <c r="HP13" s="564"/>
      <c r="HQ13" s="564"/>
      <c r="HR13" s="564"/>
      <c r="HS13" s="564"/>
      <c r="HT13" s="564"/>
      <c r="HU13" s="564"/>
      <c r="HV13" s="564"/>
      <c r="HW13" s="564"/>
      <c r="HX13" s="564"/>
      <c r="HY13" s="564"/>
      <c r="HZ13" s="564"/>
      <c r="IA13" s="564"/>
      <c r="IB13" s="564"/>
      <c r="IC13" s="564"/>
      <c r="ID13" s="564"/>
      <c r="IE13" s="564"/>
      <c r="IF13" s="564"/>
      <c r="IG13" s="564"/>
    </row>
    <row r="14" spans="3:17" ht="17.25">
      <c r="C14" s="565"/>
      <c r="D14" s="566"/>
      <c r="E14" s="566"/>
      <c r="F14" s="567"/>
      <c r="G14" s="568"/>
      <c r="H14" s="568"/>
      <c r="I14" s="569"/>
      <c r="J14" s="570">
        <v>2025</v>
      </c>
      <c r="K14" s="571"/>
      <c r="L14" s="572"/>
      <c r="M14" s="572"/>
      <c r="N14" s="572"/>
      <c r="O14" s="572"/>
      <c r="P14" s="572"/>
      <c r="Q14" s="572"/>
    </row>
    <row r="15" spans="1:17" ht="34.5">
      <c r="A15" s="573">
        <v>6</v>
      </c>
      <c r="B15" s="574"/>
      <c r="C15" s="575"/>
      <c r="D15" s="574" t="s">
        <v>275</v>
      </c>
      <c r="E15" s="576"/>
      <c r="F15" s="577"/>
      <c r="G15" s="578">
        <f>+G16+G174</f>
        <v>1234</v>
      </c>
      <c r="H15" s="578"/>
      <c r="I15" s="577"/>
      <c r="J15" s="577"/>
      <c r="K15" s="577"/>
      <c r="L15" s="579">
        <f>+L16+L174</f>
        <v>88</v>
      </c>
      <c r="M15" s="577"/>
      <c r="N15" s="579">
        <f>+N16+N174</f>
        <v>31248.2</v>
      </c>
      <c r="O15" s="579">
        <f>+O16+O174</f>
        <v>8</v>
      </c>
      <c r="P15" s="579"/>
      <c r="Q15" s="579">
        <f>+Q16+Q174</f>
        <v>2115</v>
      </c>
    </row>
    <row r="16" spans="1:17" ht="17.25">
      <c r="A16" s="580"/>
      <c r="B16" s="581">
        <v>61</v>
      </c>
      <c r="C16" s="582"/>
      <c r="D16" s="583" t="s">
        <v>280</v>
      </c>
      <c r="E16" s="584"/>
      <c r="F16" s="585"/>
      <c r="G16" s="586">
        <f>+G17+G67+G162</f>
        <v>520</v>
      </c>
      <c r="H16" s="585"/>
      <c r="I16" s="587"/>
      <c r="J16" s="585"/>
      <c r="K16" s="587"/>
      <c r="L16" s="586">
        <f>+L17+L67+L162</f>
        <v>60</v>
      </c>
      <c r="M16" s="585"/>
      <c r="N16" s="586">
        <f>+N17+N67+N162</f>
        <v>30203.2</v>
      </c>
      <c r="O16" s="586">
        <f>+O17+O67+O162</f>
        <v>2</v>
      </c>
      <c r="P16" s="585"/>
      <c r="Q16" s="586">
        <f>+Q17+Q67+Q162</f>
        <v>740</v>
      </c>
    </row>
    <row r="17" spans="1:17" ht="86.25">
      <c r="A17" s="588"/>
      <c r="B17" s="588"/>
      <c r="C17" s="589">
        <v>610</v>
      </c>
      <c r="D17" s="590" t="s">
        <v>276</v>
      </c>
      <c r="E17" s="591">
        <v>5</v>
      </c>
      <c r="F17" s="592"/>
      <c r="G17" s="593">
        <f>+G18+G41</f>
        <v>268</v>
      </c>
      <c r="H17" s="592"/>
      <c r="I17" s="594"/>
      <c r="J17" s="591">
        <v>20</v>
      </c>
      <c r="K17" s="594"/>
      <c r="L17" s="593">
        <f>+L18+L41</f>
        <v>52</v>
      </c>
      <c r="M17" s="592"/>
      <c r="N17" s="593">
        <f>+N18+N41</f>
        <v>29203.2</v>
      </c>
      <c r="O17" s="593">
        <f>+O18+O41</f>
        <v>0</v>
      </c>
      <c r="P17" s="592"/>
      <c r="Q17" s="593">
        <f>+Q18+Q41</f>
        <v>0</v>
      </c>
    </row>
    <row r="18" spans="1:17" ht="34.5">
      <c r="A18" s="595"/>
      <c r="B18" s="595"/>
      <c r="C18" s="596">
        <v>1</v>
      </c>
      <c r="D18" s="597" t="s">
        <v>267</v>
      </c>
      <c r="E18" s="596"/>
      <c r="F18" s="595"/>
      <c r="G18" s="598">
        <f>SUM(G19:G39)</f>
        <v>71</v>
      </c>
      <c r="H18" s="595"/>
      <c r="I18" s="599"/>
      <c r="J18" s="595"/>
      <c r="K18" s="599"/>
      <c r="L18" s="598">
        <f>SUM(L19:L39)</f>
        <v>22</v>
      </c>
      <c r="M18" s="595"/>
      <c r="N18" s="598">
        <f>SUM(N19:N39)</f>
        <v>12355.2</v>
      </c>
      <c r="O18" s="598">
        <f>SUM(O19:O39)</f>
        <v>0</v>
      </c>
      <c r="P18" s="595"/>
      <c r="Q18" s="598">
        <f>SUM(Q19:Q39)</f>
        <v>0</v>
      </c>
    </row>
    <row r="19" spans="3:17" ht="17.25">
      <c r="C19" s="561">
        <v>1</v>
      </c>
      <c r="D19" s="137" t="s">
        <v>444</v>
      </c>
      <c r="E19" s="136"/>
      <c r="F19" s="138" t="s">
        <v>445</v>
      </c>
      <c r="G19" s="139">
        <v>7</v>
      </c>
      <c r="H19" s="140">
        <v>2008</v>
      </c>
      <c r="I19" s="135">
        <v>3500</v>
      </c>
      <c r="J19" s="592">
        <f aca="true" t="shared" si="0" ref="J19:J38">IF(($J$14-H19)*J$17&gt;100,100,($J$14-H19)*J$17)</f>
        <v>100</v>
      </c>
      <c r="K19" s="594">
        <f aca="true" t="shared" si="1" ref="K19:K37">IF(J19=100,0,I19-I19*J19%)</f>
        <v>0</v>
      </c>
      <c r="L19" s="592"/>
      <c r="M19" s="592"/>
      <c r="N19" s="600">
        <f>+L19*M19</f>
        <v>0</v>
      </c>
      <c r="O19" s="592"/>
      <c r="P19" s="592"/>
      <c r="Q19" s="600">
        <f aca="true" t="shared" si="2" ref="Q19:Q39">+O19*P19</f>
        <v>0</v>
      </c>
    </row>
    <row r="20" spans="3:17" ht="17.25">
      <c r="C20" s="561">
        <v>2</v>
      </c>
      <c r="D20" s="137" t="s">
        <v>446</v>
      </c>
      <c r="E20" s="136"/>
      <c r="F20" s="138" t="s">
        <v>445</v>
      </c>
      <c r="G20" s="139">
        <v>5</v>
      </c>
      <c r="H20" s="140">
        <v>2008</v>
      </c>
      <c r="I20" s="135">
        <v>5000</v>
      </c>
      <c r="J20" s="592">
        <f t="shared" si="0"/>
        <v>100</v>
      </c>
      <c r="K20" s="594">
        <f t="shared" si="1"/>
        <v>0</v>
      </c>
      <c r="L20" s="592"/>
      <c r="M20" s="592"/>
      <c r="N20" s="600">
        <f aca="true" t="shared" si="3" ref="N20:N39">+L20*M20</f>
        <v>0</v>
      </c>
      <c r="O20" s="592"/>
      <c r="P20" s="592"/>
      <c r="Q20" s="600">
        <f t="shared" si="2"/>
        <v>0</v>
      </c>
    </row>
    <row r="21" spans="3:17" ht="17.25">
      <c r="C21" s="561">
        <v>3</v>
      </c>
      <c r="D21" s="137" t="s">
        <v>447</v>
      </c>
      <c r="E21" s="136"/>
      <c r="F21" s="138" t="s">
        <v>445</v>
      </c>
      <c r="G21" s="139">
        <v>1</v>
      </c>
      <c r="H21" s="140">
        <v>2013</v>
      </c>
      <c r="I21" s="135">
        <v>2160</v>
      </c>
      <c r="J21" s="592">
        <f t="shared" si="0"/>
        <v>100</v>
      </c>
      <c r="K21" s="594">
        <f t="shared" si="1"/>
        <v>0</v>
      </c>
      <c r="L21" s="592"/>
      <c r="M21" s="592"/>
      <c r="N21" s="600">
        <f t="shared" si="3"/>
        <v>0</v>
      </c>
      <c r="O21" s="592"/>
      <c r="P21" s="592"/>
      <c r="Q21" s="600">
        <f t="shared" si="2"/>
        <v>0</v>
      </c>
    </row>
    <row r="22" spans="3:17" ht="17.25">
      <c r="C22" s="561">
        <v>4</v>
      </c>
      <c r="D22" s="137" t="s">
        <v>448</v>
      </c>
      <c r="E22" s="136"/>
      <c r="F22" s="138" t="s">
        <v>445</v>
      </c>
      <c r="G22" s="139">
        <v>11</v>
      </c>
      <c r="H22" s="140">
        <v>2019</v>
      </c>
      <c r="I22" s="135">
        <v>28743</v>
      </c>
      <c r="J22" s="592">
        <f t="shared" si="0"/>
        <v>100</v>
      </c>
      <c r="K22" s="594">
        <f t="shared" si="1"/>
        <v>0</v>
      </c>
      <c r="L22" s="592"/>
      <c r="M22" s="592"/>
      <c r="N22" s="600">
        <f t="shared" si="3"/>
        <v>0</v>
      </c>
      <c r="O22" s="592"/>
      <c r="P22" s="592"/>
      <c r="Q22" s="600">
        <f t="shared" si="2"/>
        <v>0</v>
      </c>
    </row>
    <row r="23" spans="3:17" ht="17.25">
      <c r="C23" s="561">
        <v>5</v>
      </c>
      <c r="D23" s="137" t="s">
        <v>449</v>
      </c>
      <c r="E23" s="136"/>
      <c r="F23" s="138" t="s">
        <v>445</v>
      </c>
      <c r="G23" s="139">
        <v>8</v>
      </c>
      <c r="H23" s="140">
        <v>2020</v>
      </c>
      <c r="I23" s="135">
        <v>22272</v>
      </c>
      <c r="J23" s="592">
        <f t="shared" si="0"/>
        <v>100</v>
      </c>
      <c r="K23" s="594">
        <f t="shared" si="1"/>
        <v>0</v>
      </c>
      <c r="L23" s="592"/>
      <c r="M23" s="592"/>
      <c r="N23" s="600">
        <f t="shared" si="3"/>
        <v>0</v>
      </c>
      <c r="O23" s="592"/>
      <c r="P23" s="592"/>
      <c r="Q23" s="600">
        <f t="shared" si="2"/>
        <v>0</v>
      </c>
    </row>
    <row r="24" spans="3:17" ht="17.25">
      <c r="C24" s="561">
        <v>6</v>
      </c>
      <c r="D24" s="137" t="s">
        <v>450</v>
      </c>
      <c r="E24" s="136"/>
      <c r="F24" s="138" t="s">
        <v>445</v>
      </c>
      <c r="G24" s="139">
        <v>3</v>
      </c>
      <c r="H24" s="140">
        <v>2018</v>
      </c>
      <c r="I24" s="135">
        <v>9270</v>
      </c>
      <c r="J24" s="592">
        <f t="shared" si="0"/>
        <v>100</v>
      </c>
      <c r="K24" s="594">
        <f t="shared" si="1"/>
        <v>0</v>
      </c>
      <c r="L24" s="592"/>
      <c r="M24" s="592"/>
      <c r="N24" s="600">
        <f t="shared" si="3"/>
        <v>0</v>
      </c>
      <c r="O24" s="592"/>
      <c r="P24" s="592"/>
      <c r="Q24" s="600">
        <f t="shared" si="2"/>
        <v>0</v>
      </c>
    </row>
    <row r="25" spans="3:17" ht="17.25">
      <c r="C25" s="561">
        <v>7</v>
      </c>
      <c r="D25" s="137" t="s">
        <v>451</v>
      </c>
      <c r="E25" s="136"/>
      <c r="F25" s="138" t="s">
        <v>445</v>
      </c>
      <c r="G25" s="139">
        <v>1</v>
      </c>
      <c r="H25" s="140">
        <v>2015</v>
      </c>
      <c r="I25" s="135">
        <v>3222.563</v>
      </c>
      <c r="J25" s="592">
        <f t="shared" si="0"/>
        <v>100</v>
      </c>
      <c r="K25" s="594">
        <f t="shared" si="1"/>
        <v>0</v>
      </c>
      <c r="L25" s="592"/>
      <c r="M25" s="592"/>
      <c r="N25" s="600">
        <f t="shared" si="3"/>
        <v>0</v>
      </c>
      <c r="O25" s="592"/>
      <c r="P25" s="592"/>
      <c r="Q25" s="600">
        <f t="shared" si="2"/>
        <v>0</v>
      </c>
    </row>
    <row r="26" spans="3:17" ht="17.25">
      <c r="C26" s="561">
        <v>8</v>
      </c>
      <c r="D26" s="137" t="s">
        <v>452</v>
      </c>
      <c r="E26" s="136"/>
      <c r="F26" s="138" t="s">
        <v>445</v>
      </c>
      <c r="G26" s="139">
        <v>4</v>
      </c>
      <c r="H26" s="140">
        <v>2011</v>
      </c>
      <c r="I26" s="135">
        <v>13840</v>
      </c>
      <c r="J26" s="592">
        <f t="shared" si="0"/>
        <v>100</v>
      </c>
      <c r="K26" s="594">
        <f t="shared" si="1"/>
        <v>0</v>
      </c>
      <c r="L26" s="592"/>
      <c r="M26" s="592"/>
      <c r="N26" s="600">
        <f t="shared" si="3"/>
        <v>0</v>
      </c>
      <c r="O26" s="592"/>
      <c r="P26" s="592"/>
      <c r="Q26" s="600">
        <f t="shared" si="2"/>
        <v>0</v>
      </c>
    </row>
    <row r="27" spans="3:17" ht="17.25">
      <c r="C27" s="561">
        <v>9</v>
      </c>
      <c r="D27" s="137" t="s">
        <v>451</v>
      </c>
      <c r="E27" s="136"/>
      <c r="F27" s="138" t="s">
        <v>445</v>
      </c>
      <c r="G27" s="139">
        <v>12</v>
      </c>
      <c r="H27" s="140">
        <v>2015</v>
      </c>
      <c r="I27" s="135">
        <v>43032.12</v>
      </c>
      <c r="J27" s="592">
        <f t="shared" si="0"/>
        <v>100</v>
      </c>
      <c r="K27" s="594">
        <f t="shared" si="1"/>
        <v>0</v>
      </c>
      <c r="L27" s="592"/>
      <c r="M27" s="592"/>
      <c r="N27" s="600">
        <f t="shared" si="3"/>
        <v>0</v>
      </c>
      <c r="O27" s="592"/>
      <c r="P27" s="592"/>
      <c r="Q27" s="600">
        <f t="shared" si="2"/>
        <v>0</v>
      </c>
    </row>
    <row r="28" spans="3:17" ht="17.25">
      <c r="C28" s="561">
        <v>10</v>
      </c>
      <c r="D28" s="137" t="s">
        <v>453</v>
      </c>
      <c r="E28" s="136"/>
      <c r="F28" s="138" t="s">
        <v>445</v>
      </c>
      <c r="G28" s="139">
        <v>1</v>
      </c>
      <c r="H28" s="140">
        <v>2018</v>
      </c>
      <c r="I28" s="135">
        <v>3809.04</v>
      </c>
      <c r="J28" s="592">
        <f t="shared" si="0"/>
        <v>100</v>
      </c>
      <c r="K28" s="594">
        <f t="shared" si="1"/>
        <v>0</v>
      </c>
      <c r="L28" s="592"/>
      <c r="M28" s="592"/>
      <c r="N28" s="600">
        <f t="shared" si="3"/>
        <v>0</v>
      </c>
      <c r="O28" s="592"/>
      <c r="P28" s="592"/>
      <c r="Q28" s="600">
        <f t="shared" si="2"/>
        <v>0</v>
      </c>
    </row>
    <row r="29" spans="3:17" ht="17.25">
      <c r="C29" s="561">
        <v>11</v>
      </c>
      <c r="D29" s="137" t="s">
        <v>454</v>
      </c>
      <c r="E29" s="136"/>
      <c r="F29" s="138" t="s">
        <v>445</v>
      </c>
      <c r="G29" s="139">
        <v>10</v>
      </c>
      <c r="H29" s="140">
        <v>2017</v>
      </c>
      <c r="I29" s="135">
        <v>52300</v>
      </c>
      <c r="J29" s="592">
        <f t="shared" si="0"/>
        <v>100</v>
      </c>
      <c r="K29" s="594">
        <f t="shared" si="1"/>
        <v>0</v>
      </c>
      <c r="L29" s="592"/>
      <c r="M29" s="592"/>
      <c r="N29" s="600">
        <f t="shared" si="3"/>
        <v>0</v>
      </c>
      <c r="O29" s="592"/>
      <c r="P29" s="592"/>
      <c r="Q29" s="600">
        <f t="shared" si="2"/>
        <v>0</v>
      </c>
    </row>
    <row r="30" spans="3:17" ht="17.25">
      <c r="C30" s="561">
        <v>12</v>
      </c>
      <c r="D30" s="137" t="s">
        <v>455</v>
      </c>
      <c r="E30" s="136"/>
      <c r="F30" s="138" t="s">
        <v>445</v>
      </c>
      <c r="G30" s="139">
        <v>2</v>
      </c>
      <c r="H30" s="140">
        <v>2020</v>
      </c>
      <c r="I30" s="135">
        <v>39600</v>
      </c>
      <c r="J30" s="592">
        <f t="shared" si="0"/>
        <v>100</v>
      </c>
      <c r="K30" s="594">
        <f t="shared" si="1"/>
        <v>0</v>
      </c>
      <c r="L30" s="592"/>
      <c r="M30" s="592"/>
      <c r="N30" s="600">
        <f t="shared" si="3"/>
        <v>0</v>
      </c>
      <c r="O30" s="592"/>
      <c r="P30" s="592"/>
      <c r="Q30" s="600">
        <f t="shared" si="2"/>
        <v>0</v>
      </c>
    </row>
    <row r="31" spans="3:17" ht="17.25">
      <c r="C31" s="561">
        <v>13</v>
      </c>
      <c r="D31" s="137" t="s">
        <v>456</v>
      </c>
      <c r="E31" s="136"/>
      <c r="F31" s="138" t="s">
        <v>445</v>
      </c>
      <c r="G31" s="139">
        <v>1</v>
      </c>
      <c r="H31" s="140">
        <v>2012</v>
      </c>
      <c r="I31" s="135">
        <v>20000</v>
      </c>
      <c r="J31" s="592">
        <f t="shared" si="0"/>
        <v>100</v>
      </c>
      <c r="K31" s="594">
        <f t="shared" si="1"/>
        <v>0</v>
      </c>
      <c r="L31" s="592"/>
      <c r="M31" s="592"/>
      <c r="N31" s="600">
        <f t="shared" si="3"/>
        <v>0</v>
      </c>
      <c r="O31" s="592"/>
      <c r="P31" s="592"/>
      <c r="Q31" s="600">
        <f t="shared" si="2"/>
        <v>0</v>
      </c>
    </row>
    <row r="32" spans="3:17" ht="17.25">
      <c r="C32" s="561">
        <v>14</v>
      </c>
      <c r="D32" s="152" t="s">
        <v>826</v>
      </c>
      <c r="E32" s="136"/>
      <c r="F32" s="138" t="s">
        <v>445</v>
      </c>
      <c r="G32" s="141">
        <v>5</v>
      </c>
      <c r="H32" s="142">
        <v>2023</v>
      </c>
      <c r="I32" s="135">
        <v>20760</v>
      </c>
      <c r="J32" s="592">
        <f t="shared" si="0"/>
        <v>40</v>
      </c>
      <c r="K32" s="594">
        <f t="shared" si="1"/>
        <v>12456</v>
      </c>
      <c r="L32" s="592"/>
      <c r="M32" s="592"/>
      <c r="N32" s="600">
        <f t="shared" si="3"/>
        <v>0</v>
      </c>
      <c r="O32" s="592"/>
      <c r="P32" s="592"/>
      <c r="Q32" s="600">
        <f t="shared" si="2"/>
        <v>0</v>
      </c>
    </row>
    <row r="33" spans="3:17" ht="17.25">
      <c r="C33" s="561">
        <v>15</v>
      </c>
      <c r="D33" s="152" t="s">
        <v>826</v>
      </c>
      <c r="E33" s="602"/>
      <c r="F33" s="592" t="s">
        <v>445</v>
      </c>
      <c r="G33" s="594"/>
      <c r="H33" s="592"/>
      <c r="I33" s="603"/>
      <c r="J33" s="592">
        <f t="shared" si="0"/>
        <v>100</v>
      </c>
      <c r="K33" s="594">
        <f t="shared" si="1"/>
        <v>0</v>
      </c>
      <c r="L33" s="592">
        <v>22</v>
      </c>
      <c r="M33" s="592">
        <v>561.6</v>
      </c>
      <c r="N33" s="600">
        <f t="shared" si="3"/>
        <v>12355.2</v>
      </c>
      <c r="O33" s="592"/>
      <c r="P33" s="592"/>
      <c r="Q33" s="600">
        <f t="shared" si="2"/>
        <v>0</v>
      </c>
    </row>
    <row r="34" spans="3:17" ht="17.25">
      <c r="C34" s="561">
        <v>16</v>
      </c>
      <c r="D34" s="601"/>
      <c r="E34" s="602"/>
      <c r="F34" s="592" t="s">
        <v>445</v>
      </c>
      <c r="G34" s="594"/>
      <c r="H34" s="592"/>
      <c r="I34" s="603"/>
      <c r="J34" s="592">
        <f t="shared" si="0"/>
        <v>100</v>
      </c>
      <c r="K34" s="594">
        <f t="shared" si="1"/>
        <v>0</v>
      </c>
      <c r="L34" s="592"/>
      <c r="M34" s="592"/>
      <c r="N34" s="600">
        <f t="shared" si="3"/>
        <v>0</v>
      </c>
      <c r="O34" s="592"/>
      <c r="P34" s="592"/>
      <c r="Q34" s="600">
        <f t="shared" si="2"/>
        <v>0</v>
      </c>
    </row>
    <row r="35" spans="3:17" ht="17.25">
      <c r="C35" s="561">
        <v>17</v>
      </c>
      <c r="D35" s="601"/>
      <c r="E35" s="602"/>
      <c r="F35" s="592" t="s">
        <v>445</v>
      </c>
      <c r="G35" s="594"/>
      <c r="H35" s="592"/>
      <c r="I35" s="603"/>
      <c r="J35" s="592">
        <f t="shared" si="0"/>
        <v>100</v>
      </c>
      <c r="K35" s="594">
        <f t="shared" si="1"/>
        <v>0</v>
      </c>
      <c r="L35" s="592"/>
      <c r="M35" s="592"/>
      <c r="N35" s="600">
        <f t="shared" si="3"/>
        <v>0</v>
      </c>
      <c r="O35" s="592"/>
      <c r="P35" s="592"/>
      <c r="Q35" s="600">
        <f t="shared" si="2"/>
        <v>0</v>
      </c>
    </row>
    <row r="36" spans="3:17" ht="17.25">
      <c r="C36" s="561">
        <v>30</v>
      </c>
      <c r="D36" s="601"/>
      <c r="E36" s="602"/>
      <c r="F36" s="592" t="s">
        <v>445</v>
      </c>
      <c r="G36" s="594"/>
      <c r="H36" s="592"/>
      <c r="I36" s="603"/>
      <c r="J36" s="592">
        <f t="shared" si="0"/>
        <v>100</v>
      </c>
      <c r="K36" s="600">
        <f t="shared" si="1"/>
        <v>0</v>
      </c>
      <c r="L36" s="592"/>
      <c r="M36" s="592"/>
      <c r="N36" s="600">
        <f t="shared" si="3"/>
        <v>0</v>
      </c>
      <c r="O36" s="592"/>
      <c r="P36" s="592"/>
      <c r="Q36" s="600">
        <f t="shared" si="2"/>
        <v>0</v>
      </c>
    </row>
    <row r="37" spans="3:17" ht="17.25">
      <c r="C37" s="561">
        <v>31</v>
      </c>
      <c r="D37" s="601"/>
      <c r="E37" s="602"/>
      <c r="F37" s="592" t="s">
        <v>445</v>
      </c>
      <c r="G37" s="594"/>
      <c r="H37" s="592"/>
      <c r="I37" s="603"/>
      <c r="J37" s="592">
        <f t="shared" si="0"/>
        <v>100</v>
      </c>
      <c r="K37" s="600">
        <f t="shared" si="1"/>
        <v>0</v>
      </c>
      <c r="L37" s="592"/>
      <c r="M37" s="592"/>
      <c r="N37" s="600">
        <f t="shared" si="3"/>
        <v>0</v>
      </c>
      <c r="O37" s="592"/>
      <c r="P37" s="592"/>
      <c r="Q37" s="600">
        <f t="shared" si="2"/>
        <v>0</v>
      </c>
    </row>
    <row r="38" spans="3:17" ht="17.25">
      <c r="C38" s="561">
        <v>32</v>
      </c>
      <c r="D38" s="601"/>
      <c r="E38" s="602"/>
      <c r="F38" s="592" t="s">
        <v>445</v>
      </c>
      <c r="G38" s="594"/>
      <c r="H38" s="592"/>
      <c r="I38" s="603"/>
      <c r="J38" s="592">
        <f t="shared" si="0"/>
        <v>100</v>
      </c>
      <c r="K38" s="600">
        <f>IF(J38=100,0,I38-I38*J38%)</f>
        <v>0</v>
      </c>
      <c r="L38" s="592"/>
      <c r="M38" s="592"/>
      <c r="N38" s="600">
        <f>+L38*M38</f>
        <v>0</v>
      </c>
      <c r="O38" s="592"/>
      <c r="P38" s="592"/>
      <c r="Q38" s="600">
        <f>+O38*P38</f>
        <v>0</v>
      </c>
    </row>
    <row r="39" spans="3:17" ht="17.25">
      <c r="C39" s="561">
        <v>32</v>
      </c>
      <c r="D39" s="601"/>
      <c r="E39" s="602"/>
      <c r="F39" s="592" t="s">
        <v>445</v>
      </c>
      <c r="G39" s="594"/>
      <c r="H39" s="592"/>
      <c r="I39" s="603"/>
      <c r="J39" s="600"/>
      <c r="K39" s="600"/>
      <c r="L39" s="592"/>
      <c r="M39" s="592"/>
      <c r="N39" s="600">
        <f t="shared" si="3"/>
        <v>0</v>
      </c>
      <c r="O39" s="607"/>
      <c r="P39" s="606"/>
      <c r="Q39" s="600">
        <f t="shared" si="2"/>
        <v>0</v>
      </c>
    </row>
    <row r="40" spans="3:17" ht="34.5">
      <c r="C40" s="561"/>
      <c r="D40" s="608" t="s">
        <v>1117</v>
      </c>
      <c r="E40" s="602"/>
      <c r="F40" s="602"/>
      <c r="G40" s="609">
        <f>SUMIF(J19:J39,"&lt;100",G19:G39)</f>
        <v>5</v>
      </c>
      <c r="H40" s="602"/>
      <c r="I40" s="610"/>
      <c r="K40" s="611"/>
      <c r="L40" s="602"/>
      <c r="M40" s="602"/>
      <c r="N40" s="567"/>
      <c r="O40" s="602"/>
      <c r="P40" s="602"/>
      <c r="Q40" s="567"/>
    </row>
    <row r="41" spans="1:17" ht="86.25">
      <c r="A41" s="595"/>
      <c r="B41" s="595"/>
      <c r="C41" s="596">
        <v>2</v>
      </c>
      <c r="D41" s="597" t="s">
        <v>266</v>
      </c>
      <c r="E41" s="596"/>
      <c r="F41" s="595" t="s">
        <v>445</v>
      </c>
      <c r="G41" s="598">
        <f>SUM(G42:G65)</f>
        <v>197</v>
      </c>
      <c r="H41" s="595"/>
      <c r="I41" s="599"/>
      <c r="J41" s="595"/>
      <c r="K41" s="599"/>
      <c r="L41" s="593">
        <f>SUM(L42:L65)</f>
        <v>30</v>
      </c>
      <c r="M41" s="595"/>
      <c r="N41" s="598">
        <f>SUM(N42:N65)</f>
        <v>16848</v>
      </c>
      <c r="O41" s="593">
        <f>SUM(O42:O65)</f>
        <v>0</v>
      </c>
      <c r="P41" s="595"/>
      <c r="Q41" s="598">
        <f>SUM(Q42:Q65)</f>
        <v>0</v>
      </c>
    </row>
    <row r="42" spans="3:17" ht="17.25">
      <c r="C42" s="561">
        <v>1</v>
      </c>
      <c r="D42" s="137" t="s">
        <v>828</v>
      </c>
      <c r="E42" s="136"/>
      <c r="F42" s="138" t="s">
        <v>445</v>
      </c>
      <c r="G42" s="144">
        <v>2</v>
      </c>
      <c r="H42" s="145">
        <v>2012</v>
      </c>
      <c r="I42" s="135">
        <v>24</v>
      </c>
      <c r="J42" s="592">
        <f aca="true" t="shared" si="4" ref="J42:J65">IF(($J$14-H42)*J$17&gt;100,100,($J$14-H42)*J$17)</f>
        <v>100</v>
      </c>
      <c r="K42" s="600">
        <f>IF(J42=100,0,I42-I42*J42%)</f>
        <v>0</v>
      </c>
      <c r="L42" s="592"/>
      <c r="M42" s="592"/>
      <c r="N42" s="600">
        <f aca="true" t="shared" si="5" ref="N42:N65">+L42*M42</f>
        <v>0</v>
      </c>
      <c r="O42" s="592"/>
      <c r="P42" s="592"/>
      <c r="Q42" s="600">
        <f aca="true" t="shared" si="6" ref="Q42:Q65">+O42*P42</f>
        <v>0</v>
      </c>
    </row>
    <row r="43" spans="3:17" ht="18.75" customHeight="1">
      <c r="C43" s="561">
        <v>2</v>
      </c>
      <c r="D43" s="137" t="s">
        <v>829</v>
      </c>
      <c r="E43" s="136"/>
      <c r="F43" s="143" t="s">
        <v>445</v>
      </c>
      <c r="G43" s="144">
        <v>1</v>
      </c>
      <c r="H43" s="146">
        <v>2013</v>
      </c>
      <c r="I43" s="135">
        <v>12.267</v>
      </c>
      <c r="J43" s="592">
        <f t="shared" si="4"/>
        <v>100</v>
      </c>
      <c r="K43" s="600">
        <f>IF(J43=100,0,I43-I43*J43%)</f>
        <v>0</v>
      </c>
      <c r="L43" s="592"/>
      <c r="M43" s="592"/>
      <c r="N43" s="600">
        <f t="shared" si="5"/>
        <v>0</v>
      </c>
      <c r="O43" s="592"/>
      <c r="P43" s="592"/>
      <c r="Q43" s="600">
        <f t="shared" si="6"/>
        <v>0</v>
      </c>
    </row>
    <row r="44" spans="3:17" ht="17.25">
      <c r="C44" s="561">
        <v>3</v>
      </c>
      <c r="D44" s="137" t="s">
        <v>830</v>
      </c>
      <c r="E44" s="136"/>
      <c r="F44" s="138" t="s">
        <v>445</v>
      </c>
      <c r="G44" s="144">
        <v>1</v>
      </c>
      <c r="H44" s="146">
        <v>2012</v>
      </c>
      <c r="I44" s="135">
        <v>29.2</v>
      </c>
      <c r="J44" s="592">
        <f t="shared" si="4"/>
        <v>100</v>
      </c>
      <c r="K44" s="600">
        <f aca="true" t="shared" si="7" ref="K44:K65">IF(J44=100,0,I44-I44*J44%)</f>
        <v>0</v>
      </c>
      <c r="L44" s="592"/>
      <c r="M44" s="592"/>
      <c r="N44" s="600">
        <f t="shared" si="5"/>
        <v>0</v>
      </c>
      <c r="O44" s="592"/>
      <c r="P44" s="592"/>
      <c r="Q44" s="600">
        <f t="shared" si="6"/>
        <v>0</v>
      </c>
    </row>
    <row r="45" spans="3:17" ht="17.25">
      <c r="C45" s="561">
        <v>4</v>
      </c>
      <c r="D45" s="137" t="s">
        <v>831</v>
      </c>
      <c r="E45" s="136"/>
      <c r="F45" s="138" t="s">
        <v>445</v>
      </c>
      <c r="G45" s="144">
        <v>22</v>
      </c>
      <c r="H45" s="146">
        <v>2012</v>
      </c>
      <c r="I45" s="135">
        <v>668.8</v>
      </c>
      <c r="J45" s="592">
        <f t="shared" si="4"/>
        <v>100</v>
      </c>
      <c r="K45" s="600">
        <f t="shared" si="7"/>
        <v>0</v>
      </c>
      <c r="L45" s="592"/>
      <c r="M45" s="592"/>
      <c r="N45" s="600">
        <f t="shared" si="5"/>
        <v>0</v>
      </c>
      <c r="O45" s="592"/>
      <c r="P45" s="592"/>
      <c r="Q45" s="600">
        <f t="shared" si="6"/>
        <v>0</v>
      </c>
    </row>
    <row r="46" spans="3:17" ht="17.25">
      <c r="C46" s="561">
        <v>5</v>
      </c>
      <c r="D46" s="137" t="s">
        <v>832</v>
      </c>
      <c r="E46" s="136"/>
      <c r="F46" s="138" t="s">
        <v>445</v>
      </c>
      <c r="G46" s="144">
        <v>1</v>
      </c>
      <c r="H46" s="146">
        <v>2012</v>
      </c>
      <c r="I46" s="135">
        <v>46.8</v>
      </c>
      <c r="J46" s="592">
        <f t="shared" si="4"/>
        <v>100</v>
      </c>
      <c r="K46" s="600">
        <f t="shared" si="7"/>
        <v>0</v>
      </c>
      <c r="L46" s="592"/>
      <c r="M46" s="592"/>
      <c r="N46" s="600">
        <f t="shared" si="5"/>
        <v>0</v>
      </c>
      <c r="O46" s="592"/>
      <c r="P46" s="592"/>
      <c r="Q46" s="600">
        <f t="shared" si="6"/>
        <v>0</v>
      </c>
    </row>
    <row r="47" spans="3:17" ht="17.25">
      <c r="C47" s="561">
        <v>6</v>
      </c>
      <c r="D47" s="137" t="s">
        <v>833</v>
      </c>
      <c r="E47" s="136"/>
      <c r="F47" s="138" t="s">
        <v>445</v>
      </c>
      <c r="G47" s="144">
        <v>1</v>
      </c>
      <c r="H47" s="146">
        <v>2007</v>
      </c>
      <c r="I47" s="135">
        <v>50</v>
      </c>
      <c r="J47" s="592">
        <f t="shared" si="4"/>
        <v>100</v>
      </c>
      <c r="K47" s="600">
        <f t="shared" si="7"/>
        <v>0</v>
      </c>
      <c r="L47" s="592"/>
      <c r="M47" s="592"/>
      <c r="N47" s="600">
        <f t="shared" si="5"/>
        <v>0</v>
      </c>
      <c r="O47" s="592"/>
      <c r="P47" s="592"/>
      <c r="Q47" s="600">
        <f t="shared" si="6"/>
        <v>0</v>
      </c>
    </row>
    <row r="48" spans="3:17" ht="17.25">
      <c r="C48" s="561">
        <v>7</v>
      </c>
      <c r="D48" s="137" t="s">
        <v>834</v>
      </c>
      <c r="E48" s="136"/>
      <c r="F48" s="138" t="s">
        <v>445</v>
      </c>
      <c r="G48" s="144">
        <v>3</v>
      </c>
      <c r="H48" s="146">
        <v>2008</v>
      </c>
      <c r="I48" s="135">
        <v>150</v>
      </c>
      <c r="J48" s="592">
        <f t="shared" si="4"/>
        <v>100</v>
      </c>
      <c r="K48" s="600">
        <f t="shared" si="7"/>
        <v>0</v>
      </c>
      <c r="L48" s="592"/>
      <c r="M48" s="592"/>
      <c r="N48" s="600">
        <f t="shared" si="5"/>
        <v>0</v>
      </c>
      <c r="O48" s="592"/>
      <c r="P48" s="592"/>
      <c r="Q48" s="600">
        <f t="shared" si="6"/>
        <v>0</v>
      </c>
    </row>
    <row r="49" spans="3:17" ht="17.25">
      <c r="C49" s="561">
        <v>8</v>
      </c>
      <c r="D49" s="137" t="s">
        <v>835</v>
      </c>
      <c r="E49" s="136"/>
      <c r="F49" s="138" t="s">
        <v>445</v>
      </c>
      <c r="G49" s="144">
        <v>2</v>
      </c>
      <c r="H49" s="146">
        <v>2012</v>
      </c>
      <c r="I49" s="135">
        <v>104.8</v>
      </c>
      <c r="J49" s="592">
        <f t="shared" si="4"/>
        <v>100</v>
      </c>
      <c r="K49" s="600">
        <f>IF(J49=100,0,I49-I49*J49%)</f>
        <v>0</v>
      </c>
      <c r="L49" s="592"/>
      <c r="M49" s="592"/>
      <c r="N49" s="600">
        <f t="shared" si="5"/>
        <v>0</v>
      </c>
      <c r="O49" s="592"/>
      <c r="P49" s="592"/>
      <c r="Q49" s="600">
        <f t="shared" si="6"/>
        <v>0</v>
      </c>
    </row>
    <row r="50" spans="3:17" ht="15" customHeight="1">
      <c r="C50" s="561">
        <v>9</v>
      </c>
      <c r="D50" s="137" t="s">
        <v>836</v>
      </c>
      <c r="E50" s="136"/>
      <c r="F50" s="138" t="s">
        <v>445</v>
      </c>
      <c r="G50" s="144">
        <v>26</v>
      </c>
      <c r="H50" s="146">
        <v>2013</v>
      </c>
      <c r="I50" s="135">
        <v>1861.6</v>
      </c>
      <c r="J50" s="592">
        <f t="shared" si="4"/>
        <v>100</v>
      </c>
      <c r="K50" s="600">
        <f t="shared" si="7"/>
        <v>0</v>
      </c>
      <c r="L50" s="604"/>
      <c r="M50" s="592"/>
      <c r="N50" s="600">
        <f t="shared" si="5"/>
        <v>0</v>
      </c>
      <c r="O50" s="592"/>
      <c r="P50" s="592"/>
      <c r="Q50" s="600">
        <f t="shared" si="6"/>
        <v>0</v>
      </c>
    </row>
    <row r="51" spans="3:17" ht="17.25">
      <c r="C51" s="561">
        <v>10</v>
      </c>
      <c r="D51" s="110" t="s">
        <v>837</v>
      </c>
      <c r="E51" s="136"/>
      <c r="F51" s="138" t="s">
        <v>445</v>
      </c>
      <c r="G51" s="144">
        <v>14</v>
      </c>
      <c r="H51" s="146">
        <v>2011</v>
      </c>
      <c r="I51" s="135">
        <v>1400</v>
      </c>
      <c r="J51" s="592">
        <f t="shared" si="4"/>
        <v>100</v>
      </c>
      <c r="K51" s="600">
        <f t="shared" si="7"/>
        <v>0</v>
      </c>
      <c r="L51" s="604"/>
      <c r="M51" s="592"/>
      <c r="N51" s="600">
        <f t="shared" si="5"/>
        <v>0</v>
      </c>
      <c r="O51" s="592"/>
      <c r="P51" s="592"/>
      <c r="Q51" s="600">
        <f t="shared" si="6"/>
        <v>0</v>
      </c>
    </row>
    <row r="52" spans="3:17" ht="17.25">
      <c r="C52" s="561">
        <v>11</v>
      </c>
      <c r="D52" s="137" t="s">
        <v>838</v>
      </c>
      <c r="E52" s="136"/>
      <c r="F52" s="138" t="s">
        <v>445</v>
      </c>
      <c r="G52" s="144">
        <v>2</v>
      </c>
      <c r="H52" s="146">
        <v>2011</v>
      </c>
      <c r="I52" s="135">
        <v>200</v>
      </c>
      <c r="J52" s="592">
        <f t="shared" si="4"/>
        <v>100</v>
      </c>
      <c r="K52" s="600">
        <f t="shared" si="7"/>
        <v>0</v>
      </c>
      <c r="L52" s="605"/>
      <c r="M52" s="606"/>
      <c r="N52" s="600">
        <f t="shared" si="5"/>
        <v>0</v>
      </c>
      <c r="O52" s="605"/>
      <c r="P52" s="605"/>
      <c r="Q52" s="600">
        <f t="shared" si="6"/>
        <v>0</v>
      </c>
    </row>
    <row r="53" spans="3:17" ht="17.25">
      <c r="C53" s="561">
        <v>12</v>
      </c>
      <c r="D53" s="137" t="s">
        <v>839</v>
      </c>
      <c r="E53" s="136"/>
      <c r="F53" s="138" t="s">
        <v>445</v>
      </c>
      <c r="G53" s="114">
        <v>9</v>
      </c>
      <c r="H53" s="114">
        <v>2013</v>
      </c>
      <c r="I53" s="135">
        <v>957.6</v>
      </c>
      <c r="J53" s="592">
        <f t="shared" si="4"/>
        <v>100</v>
      </c>
      <c r="K53" s="600">
        <f t="shared" si="7"/>
        <v>0</v>
      </c>
      <c r="L53" s="592"/>
      <c r="M53" s="592"/>
      <c r="N53" s="600">
        <f t="shared" si="5"/>
        <v>0</v>
      </c>
      <c r="O53" s="592"/>
      <c r="P53" s="592"/>
      <c r="Q53" s="600">
        <f t="shared" si="6"/>
        <v>0</v>
      </c>
    </row>
    <row r="54" spans="3:17" ht="17.25">
      <c r="C54" s="561">
        <v>13</v>
      </c>
      <c r="D54" s="137" t="s">
        <v>457</v>
      </c>
      <c r="E54" s="136"/>
      <c r="F54" s="138" t="s">
        <v>445</v>
      </c>
      <c r="G54" s="114">
        <v>1</v>
      </c>
      <c r="H54" s="114">
        <v>2018</v>
      </c>
      <c r="I54" s="135">
        <v>277.522</v>
      </c>
      <c r="J54" s="592">
        <f t="shared" si="4"/>
        <v>100</v>
      </c>
      <c r="K54" s="600">
        <f t="shared" si="7"/>
        <v>0</v>
      </c>
      <c r="L54" s="592"/>
      <c r="M54" s="592"/>
      <c r="N54" s="600">
        <f t="shared" si="5"/>
        <v>0</v>
      </c>
      <c r="O54" s="592"/>
      <c r="P54" s="592"/>
      <c r="Q54" s="600">
        <f t="shared" si="6"/>
        <v>0</v>
      </c>
    </row>
    <row r="55" spans="3:17" ht="17.25">
      <c r="C55" s="561">
        <v>14</v>
      </c>
      <c r="D55" s="137" t="s">
        <v>458</v>
      </c>
      <c r="E55" s="136"/>
      <c r="F55" s="138" t="s">
        <v>445</v>
      </c>
      <c r="G55" s="114">
        <v>12</v>
      </c>
      <c r="H55" s="114">
        <v>2019</v>
      </c>
      <c r="I55" s="135">
        <v>4137.6</v>
      </c>
      <c r="J55" s="592">
        <f t="shared" si="4"/>
        <v>100</v>
      </c>
      <c r="K55" s="600">
        <f t="shared" si="7"/>
        <v>0</v>
      </c>
      <c r="L55" s="592"/>
      <c r="M55" s="592"/>
      <c r="N55" s="600">
        <f t="shared" si="5"/>
        <v>0</v>
      </c>
      <c r="O55" s="592"/>
      <c r="P55" s="592"/>
      <c r="Q55" s="600">
        <f t="shared" si="6"/>
        <v>0</v>
      </c>
    </row>
    <row r="56" spans="3:17" ht="17.25">
      <c r="C56" s="561">
        <v>15</v>
      </c>
      <c r="D56" s="137" t="s">
        <v>459</v>
      </c>
      <c r="E56" s="136"/>
      <c r="F56" s="138" t="s">
        <v>445</v>
      </c>
      <c r="G56" s="114">
        <v>10</v>
      </c>
      <c r="H56" s="114">
        <v>2018</v>
      </c>
      <c r="I56" s="135">
        <v>3493.15</v>
      </c>
      <c r="J56" s="592">
        <f t="shared" si="4"/>
        <v>100</v>
      </c>
      <c r="K56" s="600">
        <f t="shared" si="7"/>
        <v>0</v>
      </c>
      <c r="L56" s="592"/>
      <c r="M56" s="592"/>
      <c r="N56" s="600">
        <f t="shared" si="5"/>
        <v>0</v>
      </c>
      <c r="O56" s="592"/>
      <c r="P56" s="592"/>
      <c r="Q56" s="600">
        <f t="shared" si="6"/>
        <v>0</v>
      </c>
    </row>
    <row r="57" spans="3:17" ht="17.25">
      <c r="C57" s="561">
        <v>16</v>
      </c>
      <c r="D57" s="137" t="s">
        <v>460</v>
      </c>
      <c r="E57" s="136"/>
      <c r="F57" s="138" t="s">
        <v>445</v>
      </c>
      <c r="G57" s="114">
        <v>24</v>
      </c>
      <c r="H57" s="114">
        <v>2020</v>
      </c>
      <c r="I57" s="135">
        <v>8856</v>
      </c>
      <c r="J57" s="592">
        <f t="shared" si="4"/>
        <v>100</v>
      </c>
      <c r="K57" s="600">
        <f t="shared" si="7"/>
        <v>0</v>
      </c>
      <c r="L57" s="592"/>
      <c r="M57" s="592"/>
      <c r="N57" s="600">
        <f t="shared" si="5"/>
        <v>0</v>
      </c>
      <c r="O57" s="592"/>
      <c r="P57" s="592"/>
      <c r="Q57" s="600">
        <f t="shared" si="6"/>
        <v>0</v>
      </c>
    </row>
    <row r="58" spans="3:17" ht="17.25">
      <c r="C58" s="561">
        <v>17</v>
      </c>
      <c r="D58" s="137" t="s">
        <v>461</v>
      </c>
      <c r="E58" s="136"/>
      <c r="F58" s="138" t="s">
        <v>445</v>
      </c>
      <c r="G58" s="126">
        <v>3</v>
      </c>
      <c r="H58" s="126">
        <v>2018</v>
      </c>
      <c r="I58" s="135">
        <v>1192.998</v>
      </c>
      <c r="J58" s="592">
        <f t="shared" si="4"/>
        <v>100</v>
      </c>
      <c r="K58" s="600">
        <f t="shared" si="7"/>
        <v>0</v>
      </c>
      <c r="L58" s="592"/>
      <c r="M58" s="592"/>
      <c r="N58" s="600">
        <f t="shared" si="5"/>
        <v>0</v>
      </c>
      <c r="O58" s="592"/>
      <c r="P58" s="592"/>
      <c r="Q58" s="600">
        <f t="shared" si="6"/>
        <v>0</v>
      </c>
    </row>
    <row r="59" spans="3:17" ht="17.25">
      <c r="C59" s="561">
        <v>18</v>
      </c>
      <c r="D59" s="137" t="s">
        <v>462</v>
      </c>
      <c r="E59" s="136"/>
      <c r="F59" s="138" t="s">
        <v>445</v>
      </c>
      <c r="G59" s="126">
        <v>14</v>
      </c>
      <c r="H59" s="126">
        <v>2018</v>
      </c>
      <c r="I59" s="135">
        <v>6090</v>
      </c>
      <c r="J59" s="592">
        <f t="shared" si="4"/>
        <v>100</v>
      </c>
      <c r="K59" s="600">
        <f t="shared" si="7"/>
        <v>0</v>
      </c>
      <c r="L59" s="592"/>
      <c r="M59" s="592"/>
      <c r="N59" s="600">
        <f t="shared" si="5"/>
        <v>0</v>
      </c>
      <c r="O59" s="592"/>
      <c r="P59" s="592"/>
      <c r="Q59" s="600">
        <f t="shared" si="6"/>
        <v>0</v>
      </c>
    </row>
    <row r="60" spans="3:17" ht="17.25">
      <c r="C60" s="561">
        <v>19</v>
      </c>
      <c r="D60" s="137" t="s">
        <v>840</v>
      </c>
      <c r="E60" s="136"/>
      <c r="F60" s="138" t="s">
        <v>445</v>
      </c>
      <c r="G60" s="126">
        <v>6</v>
      </c>
      <c r="H60" s="126">
        <v>2015</v>
      </c>
      <c r="I60" s="135">
        <v>2655.0306</v>
      </c>
      <c r="J60" s="592">
        <f t="shared" si="4"/>
        <v>100</v>
      </c>
      <c r="K60" s="600">
        <f t="shared" si="7"/>
        <v>0</v>
      </c>
      <c r="L60" s="592"/>
      <c r="M60" s="592"/>
      <c r="N60" s="600">
        <f t="shared" si="5"/>
        <v>0</v>
      </c>
      <c r="O60" s="592"/>
      <c r="P60" s="592"/>
      <c r="Q60" s="600">
        <f t="shared" si="6"/>
        <v>0</v>
      </c>
    </row>
    <row r="61" spans="3:17" ht="17.25">
      <c r="C61" s="561">
        <v>20</v>
      </c>
      <c r="D61" s="137" t="s">
        <v>463</v>
      </c>
      <c r="E61" s="136"/>
      <c r="F61" s="138" t="s">
        <v>445</v>
      </c>
      <c r="G61" s="126">
        <v>30</v>
      </c>
      <c r="H61" s="126">
        <v>2021</v>
      </c>
      <c r="I61" s="135">
        <v>14850</v>
      </c>
      <c r="J61" s="592">
        <f t="shared" si="4"/>
        <v>80</v>
      </c>
      <c r="K61" s="600">
        <f t="shared" si="7"/>
        <v>2970</v>
      </c>
      <c r="L61" s="592"/>
      <c r="M61" s="592"/>
      <c r="N61" s="600">
        <f t="shared" si="5"/>
        <v>0</v>
      </c>
      <c r="O61" s="592"/>
      <c r="P61" s="592"/>
      <c r="Q61" s="600">
        <f t="shared" si="6"/>
        <v>0</v>
      </c>
    </row>
    <row r="62" spans="3:17" ht="17.25">
      <c r="C62" s="561">
        <v>21</v>
      </c>
      <c r="D62" s="137" t="s">
        <v>840</v>
      </c>
      <c r="E62" s="136"/>
      <c r="F62" s="138" t="s">
        <v>445</v>
      </c>
      <c r="G62" s="126">
        <v>13</v>
      </c>
      <c r="H62" s="126">
        <v>2015</v>
      </c>
      <c r="I62" s="135">
        <v>6745.1748</v>
      </c>
      <c r="J62" s="592">
        <f t="shared" si="4"/>
        <v>100</v>
      </c>
      <c r="K62" s="600">
        <f t="shared" si="7"/>
        <v>0</v>
      </c>
      <c r="L62" s="592"/>
      <c r="M62" s="592"/>
      <c r="N62" s="600">
        <f t="shared" si="5"/>
        <v>0</v>
      </c>
      <c r="O62" s="592"/>
      <c r="P62" s="592"/>
      <c r="Q62" s="600">
        <f t="shared" si="6"/>
        <v>0</v>
      </c>
    </row>
    <row r="63" spans="3:17" ht="17.25">
      <c r="C63" s="561"/>
      <c r="D63" s="601" t="s">
        <v>828</v>
      </c>
      <c r="E63" s="602"/>
      <c r="F63" s="592"/>
      <c r="G63" s="594"/>
      <c r="H63" s="592"/>
      <c r="I63" s="603"/>
      <c r="J63" s="592">
        <f t="shared" si="4"/>
        <v>100</v>
      </c>
      <c r="K63" s="600">
        <f t="shared" si="7"/>
        <v>0</v>
      </c>
      <c r="L63" s="592">
        <v>30</v>
      </c>
      <c r="M63" s="592">
        <v>561.6</v>
      </c>
      <c r="N63" s="600">
        <f t="shared" si="5"/>
        <v>16848</v>
      </c>
      <c r="O63" s="592"/>
      <c r="P63" s="592"/>
      <c r="Q63" s="600">
        <f t="shared" si="6"/>
        <v>0</v>
      </c>
    </row>
    <row r="64" spans="3:17" ht="17.25">
      <c r="C64" s="561"/>
      <c r="D64" s="601"/>
      <c r="E64" s="602"/>
      <c r="F64" s="592"/>
      <c r="G64" s="594"/>
      <c r="H64" s="592"/>
      <c r="I64" s="603"/>
      <c r="J64" s="592">
        <f t="shared" si="4"/>
        <v>100</v>
      </c>
      <c r="K64" s="600">
        <f t="shared" si="7"/>
        <v>0</v>
      </c>
      <c r="L64" s="592"/>
      <c r="M64" s="592"/>
      <c r="N64" s="600">
        <f t="shared" si="5"/>
        <v>0</v>
      </c>
      <c r="O64" s="592"/>
      <c r="P64" s="592"/>
      <c r="Q64" s="600">
        <f t="shared" si="6"/>
        <v>0</v>
      </c>
    </row>
    <row r="65" spans="3:17" ht="17.25">
      <c r="C65" s="561"/>
      <c r="D65" s="601"/>
      <c r="E65" s="602"/>
      <c r="F65" s="592"/>
      <c r="G65" s="594"/>
      <c r="H65" s="592"/>
      <c r="I65" s="612"/>
      <c r="J65" s="592">
        <f t="shared" si="4"/>
        <v>100</v>
      </c>
      <c r="K65" s="600">
        <f t="shared" si="7"/>
        <v>0</v>
      </c>
      <c r="L65" s="592"/>
      <c r="M65" s="592"/>
      <c r="N65" s="600">
        <f t="shared" si="5"/>
        <v>0</v>
      </c>
      <c r="O65" s="592"/>
      <c r="P65" s="592"/>
      <c r="Q65" s="600">
        <f t="shared" si="6"/>
        <v>0</v>
      </c>
    </row>
    <row r="66" spans="3:17" ht="34.5">
      <c r="C66" s="561"/>
      <c r="D66" s="608" t="s">
        <v>1117</v>
      </c>
      <c r="E66" s="602"/>
      <c r="F66" s="602"/>
      <c r="G66" s="609">
        <f>SUMIF(J42:J65,"&lt;100",G42:G65)</f>
        <v>30</v>
      </c>
      <c r="H66" s="602"/>
      <c r="I66" s="610"/>
      <c r="J66" s="602"/>
      <c r="K66" s="611"/>
      <c r="L66" s="602"/>
      <c r="M66" s="602"/>
      <c r="N66" s="567"/>
      <c r="O66" s="602"/>
      <c r="P66" s="602"/>
      <c r="Q66" s="567"/>
    </row>
    <row r="67" spans="1:17" ht="189.75">
      <c r="A67" s="588"/>
      <c r="B67" s="588"/>
      <c r="C67" s="589">
        <v>611</v>
      </c>
      <c r="D67" s="590" t="s">
        <v>277</v>
      </c>
      <c r="E67" s="591">
        <v>7</v>
      </c>
      <c r="F67" s="592"/>
      <c r="G67" s="593">
        <f>+G68+G85+G144</f>
        <v>240</v>
      </c>
      <c r="H67" s="592"/>
      <c r="I67" s="594"/>
      <c r="J67" s="591">
        <v>14.3</v>
      </c>
      <c r="K67" s="594">
        <f>IF(J67=100,0,I67-I67*J67%)</f>
        <v>0</v>
      </c>
      <c r="L67" s="593">
        <f>+L68+L85+L144</f>
        <v>8</v>
      </c>
      <c r="M67" s="592"/>
      <c r="N67" s="593">
        <f>+N68+N85+N144</f>
        <v>1000</v>
      </c>
      <c r="O67" s="593">
        <f>+O68+O85+O144</f>
        <v>2</v>
      </c>
      <c r="P67" s="592"/>
      <c r="Q67" s="593">
        <f>+Q68+Q85+Q144</f>
        <v>740</v>
      </c>
    </row>
    <row r="68" spans="1:17" ht="21" customHeight="1">
      <c r="A68" s="595"/>
      <c r="B68" s="595"/>
      <c r="C68" s="596">
        <v>1</v>
      </c>
      <c r="D68" s="597" t="s">
        <v>268</v>
      </c>
      <c r="E68" s="596"/>
      <c r="F68" s="595"/>
      <c r="G68" s="598">
        <f>SUM(G69:G83)</f>
        <v>66</v>
      </c>
      <c r="H68" s="595"/>
      <c r="I68" s="599"/>
      <c r="J68" s="595"/>
      <c r="K68" s="599"/>
      <c r="L68" s="598">
        <f>SUM(L69:L83)</f>
        <v>0</v>
      </c>
      <c r="M68" s="595"/>
      <c r="N68" s="598">
        <f>SUM(N69:N83)</f>
        <v>0</v>
      </c>
      <c r="O68" s="598">
        <f>SUM(O69:O83)</f>
        <v>0</v>
      </c>
      <c r="P68" s="595"/>
      <c r="Q68" s="598">
        <f>SUM(Q69:Q83)</f>
        <v>0</v>
      </c>
    </row>
    <row r="69" spans="3:17" ht="17.25">
      <c r="C69" s="613">
        <v>1</v>
      </c>
      <c r="D69" s="137" t="s">
        <v>464</v>
      </c>
      <c r="E69" s="148"/>
      <c r="F69" s="138" t="s">
        <v>445</v>
      </c>
      <c r="G69" s="149">
        <v>2</v>
      </c>
      <c r="H69" s="150">
        <v>2013</v>
      </c>
      <c r="I69" s="135">
        <v>59.428</v>
      </c>
      <c r="J69" s="592">
        <f aca="true" t="shared" si="8" ref="J69:J83">IF(($J$14-H69)*J$67&gt;100,100,($J$14-H69)*J$67)</f>
        <v>100</v>
      </c>
      <c r="K69" s="600">
        <f aca="true" t="shared" si="9" ref="K69:K83">IF(J69=100,0,I69-I69*J69%)</f>
        <v>0</v>
      </c>
      <c r="L69" s="592"/>
      <c r="M69" s="592"/>
      <c r="N69" s="600">
        <f aca="true" t="shared" si="10" ref="N69:N83">+L69*M69</f>
        <v>0</v>
      </c>
      <c r="O69" s="592"/>
      <c r="P69" s="592"/>
      <c r="Q69" s="600">
        <f aca="true" t="shared" si="11" ref="Q69:Q83">+O69*P69</f>
        <v>0</v>
      </c>
    </row>
    <row r="70" spans="3:17" ht="17.25">
      <c r="C70" s="613">
        <v>2</v>
      </c>
      <c r="D70" s="137" t="s">
        <v>465</v>
      </c>
      <c r="E70" s="151"/>
      <c r="F70" s="152" t="s">
        <v>445</v>
      </c>
      <c r="G70" s="153">
        <v>4</v>
      </c>
      <c r="H70" s="154">
        <v>2008</v>
      </c>
      <c r="I70" s="135">
        <v>200</v>
      </c>
      <c r="J70" s="592">
        <f t="shared" si="8"/>
        <v>100</v>
      </c>
      <c r="K70" s="600">
        <f t="shared" si="9"/>
        <v>0</v>
      </c>
      <c r="L70" s="592"/>
      <c r="M70" s="592"/>
      <c r="N70" s="600">
        <f t="shared" si="10"/>
        <v>0</v>
      </c>
      <c r="O70" s="592"/>
      <c r="P70" s="592"/>
      <c r="Q70" s="600">
        <f t="shared" si="11"/>
        <v>0</v>
      </c>
    </row>
    <row r="71" spans="3:17" ht="17.25">
      <c r="C71" s="613">
        <v>3</v>
      </c>
      <c r="D71" s="137" t="s">
        <v>466</v>
      </c>
      <c r="E71" s="151"/>
      <c r="F71" s="152" t="s">
        <v>445</v>
      </c>
      <c r="G71" s="153">
        <v>6</v>
      </c>
      <c r="H71" s="154">
        <v>2008</v>
      </c>
      <c r="I71" s="135">
        <v>300</v>
      </c>
      <c r="J71" s="592">
        <f t="shared" si="8"/>
        <v>100</v>
      </c>
      <c r="K71" s="600">
        <f t="shared" si="9"/>
        <v>0</v>
      </c>
      <c r="L71" s="592"/>
      <c r="M71" s="592"/>
      <c r="N71" s="600">
        <f t="shared" si="10"/>
        <v>0</v>
      </c>
      <c r="O71" s="592"/>
      <c r="P71" s="592"/>
      <c r="Q71" s="600">
        <f t="shared" si="11"/>
        <v>0</v>
      </c>
    </row>
    <row r="72" spans="3:17" ht="17.25">
      <c r="C72" s="613">
        <v>4</v>
      </c>
      <c r="D72" s="137" t="s">
        <v>467</v>
      </c>
      <c r="E72" s="151"/>
      <c r="F72" s="152" t="s">
        <v>445</v>
      </c>
      <c r="G72" s="153">
        <v>4</v>
      </c>
      <c r="H72" s="154">
        <v>2018</v>
      </c>
      <c r="I72" s="135">
        <v>271.2</v>
      </c>
      <c r="J72" s="592">
        <f t="shared" si="8"/>
        <v>100</v>
      </c>
      <c r="K72" s="600">
        <f t="shared" si="9"/>
        <v>0</v>
      </c>
      <c r="L72" s="592"/>
      <c r="M72" s="592"/>
      <c r="N72" s="600">
        <f t="shared" si="10"/>
        <v>0</v>
      </c>
      <c r="O72" s="592"/>
      <c r="P72" s="592"/>
      <c r="Q72" s="600">
        <f t="shared" si="11"/>
        <v>0</v>
      </c>
    </row>
    <row r="73" spans="3:17" ht="17.25">
      <c r="C73" s="613">
        <v>5</v>
      </c>
      <c r="D73" s="137" t="s">
        <v>468</v>
      </c>
      <c r="E73" s="151"/>
      <c r="F73" s="152" t="s">
        <v>445</v>
      </c>
      <c r="G73" s="153">
        <v>11</v>
      </c>
      <c r="H73" s="154">
        <v>2019</v>
      </c>
      <c r="I73" s="135">
        <v>759</v>
      </c>
      <c r="J73" s="592">
        <f t="shared" si="8"/>
        <v>85.80000000000001</v>
      </c>
      <c r="K73" s="600">
        <f t="shared" si="9"/>
        <v>107.7779999999999</v>
      </c>
      <c r="L73" s="592"/>
      <c r="M73" s="592"/>
      <c r="N73" s="600">
        <f t="shared" si="10"/>
        <v>0</v>
      </c>
      <c r="O73" s="592"/>
      <c r="P73" s="592"/>
      <c r="Q73" s="600">
        <f t="shared" si="11"/>
        <v>0</v>
      </c>
    </row>
    <row r="74" spans="3:17" ht="17.25">
      <c r="C74" s="613">
        <v>6</v>
      </c>
      <c r="D74" s="137" t="s">
        <v>469</v>
      </c>
      <c r="E74" s="151"/>
      <c r="F74" s="152" t="s">
        <v>445</v>
      </c>
      <c r="G74" s="153">
        <v>8</v>
      </c>
      <c r="H74" s="154">
        <v>2020</v>
      </c>
      <c r="I74" s="135">
        <v>556.8</v>
      </c>
      <c r="J74" s="592">
        <f t="shared" si="8"/>
        <v>71.5</v>
      </c>
      <c r="K74" s="600">
        <f t="shared" si="9"/>
        <v>158.688</v>
      </c>
      <c r="L74" s="592"/>
      <c r="M74" s="592"/>
      <c r="N74" s="600">
        <f t="shared" si="10"/>
        <v>0</v>
      </c>
      <c r="O74" s="592"/>
      <c r="P74" s="592"/>
      <c r="Q74" s="600">
        <f t="shared" si="11"/>
        <v>0</v>
      </c>
    </row>
    <row r="75" spans="3:17" ht="17.25">
      <c r="C75" s="613">
        <v>7</v>
      </c>
      <c r="D75" s="137" t="s">
        <v>470</v>
      </c>
      <c r="E75" s="151"/>
      <c r="F75" s="152" t="s">
        <v>445</v>
      </c>
      <c r="G75" s="153">
        <v>13</v>
      </c>
      <c r="H75" s="154">
        <v>2015</v>
      </c>
      <c r="I75" s="135">
        <v>946.938</v>
      </c>
      <c r="J75" s="592">
        <f t="shared" si="8"/>
        <v>100</v>
      </c>
      <c r="K75" s="600">
        <f t="shared" si="9"/>
        <v>0</v>
      </c>
      <c r="L75" s="592"/>
      <c r="M75" s="592"/>
      <c r="N75" s="600">
        <f t="shared" si="10"/>
        <v>0</v>
      </c>
      <c r="O75" s="592"/>
      <c r="P75" s="592"/>
      <c r="Q75" s="600">
        <f t="shared" si="11"/>
        <v>0</v>
      </c>
    </row>
    <row r="76" spans="3:17" ht="17.25">
      <c r="C76" s="613">
        <v>8</v>
      </c>
      <c r="D76" s="137" t="s">
        <v>471</v>
      </c>
      <c r="E76" s="151"/>
      <c r="F76" s="152" t="s">
        <v>445</v>
      </c>
      <c r="G76" s="153">
        <v>10</v>
      </c>
      <c r="H76" s="154">
        <v>2017</v>
      </c>
      <c r="I76" s="135">
        <v>750</v>
      </c>
      <c r="J76" s="592">
        <f t="shared" si="8"/>
        <v>100</v>
      </c>
      <c r="K76" s="600">
        <f t="shared" si="9"/>
        <v>0</v>
      </c>
      <c r="L76" s="592"/>
      <c r="M76" s="592"/>
      <c r="N76" s="600">
        <f t="shared" si="10"/>
        <v>0</v>
      </c>
      <c r="O76" s="592"/>
      <c r="P76" s="592"/>
      <c r="Q76" s="600">
        <f t="shared" si="11"/>
        <v>0</v>
      </c>
    </row>
    <row r="77" spans="3:17" ht="17.25">
      <c r="C77" s="613">
        <v>9</v>
      </c>
      <c r="D77" s="137" t="s">
        <v>472</v>
      </c>
      <c r="E77" s="151"/>
      <c r="F77" s="152" t="s">
        <v>445</v>
      </c>
      <c r="G77" s="139">
        <v>1</v>
      </c>
      <c r="H77" s="140">
        <v>2018</v>
      </c>
      <c r="I77" s="135">
        <v>78</v>
      </c>
      <c r="J77" s="592">
        <f t="shared" si="8"/>
        <v>100</v>
      </c>
      <c r="K77" s="600">
        <f t="shared" si="9"/>
        <v>0</v>
      </c>
      <c r="L77" s="592"/>
      <c r="M77" s="592"/>
      <c r="N77" s="600">
        <f t="shared" si="10"/>
        <v>0</v>
      </c>
      <c r="O77" s="592"/>
      <c r="P77" s="592"/>
      <c r="Q77" s="600">
        <f t="shared" si="11"/>
        <v>0</v>
      </c>
    </row>
    <row r="78" spans="3:17" ht="17.25">
      <c r="C78" s="613">
        <v>10</v>
      </c>
      <c r="D78" s="137" t="s">
        <v>473</v>
      </c>
      <c r="E78" s="151"/>
      <c r="F78" s="152" t="s">
        <v>445</v>
      </c>
      <c r="G78" s="153">
        <v>4</v>
      </c>
      <c r="H78" s="154">
        <v>2021</v>
      </c>
      <c r="I78" s="135">
        <v>392</v>
      </c>
      <c r="J78" s="592">
        <f t="shared" si="8"/>
        <v>57.2</v>
      </c>
      <c r="K78" s="600">
        <f t="shared" si="9"/>
        <v>167.77599999999998</v>
      </c>
      <c r="L78" s="592"/>
      <c r="M78" s="592"/>
      <c r="N78" s="600">
        <f t="shared" si="10"/>
        <v>0</v>
      </c>
      <c r="O78" s="592"/>
      <c r="P78" s="592"/>
      <c r="Q78" s="600">
        <f t="shared" si="11"/>
        <v>0</v>
      </c>
    </row>
    <row r="79" spans="3:17" ht="17.25">
      <c r="C79" s="613">
        <v>11</v>
      </c>
      <c r="D79" s="137" t="s">
        <v>474</v>
      </c>
      <c r="E79" s="151"/>
      <c r="F79" s="152" t="s">
        <v>445</v>
      </c>
      <c r="G79" s="139">
        <v>1</v>
      </c>
      <c r="H79" s="140">
        <v>2007</v>
      </c>
      <c r="I79" s="135">
        <v>180</v>
      </c>
      <c r="J79" s="592">
        <f t="shared" si="8"/>
        <v>100</v>
      </c>
      <c r="K79" s="600">
        <f t="shared" si="9"/>
        <v>0</v>
      </c>
      <c r="L79" s="592"/>
      <c r="M79" s="592"/>
      <c r="N79" s="600">
        <f t="shared" si="10"/>
        <v>0</v>
      </c>
      <c r="O79" s="592"/>
      <c r="P79" s="592"/>
      <c r="Q79" s="600">
        <f t="shared" si="11"/>
        <v>0</v>
      </c>
    </row>
    <row r="80" spans="3:17" ht="17.25">
      <c r="C80" s="613">
        <v>12</v>
      </c>
      <c r="D80" s="137" t="s">
        <v>475</v>
      </c>
      <c r="E80" s="151"/>
      <c r="F80" s="152" t="s">
        <v>445</v>
      </c>
      <c r="G80" s="153">
        <v>1</v>
      </c>
      <c r="H80" s="154">
        <v>2021</v>
      </c>
      <c r="I80" s="135">
        <v>1500</v>
      </c>
      <c r="J80" s="592">
        <f t="shared" si="8"/>
        <v>57.2</v>
      </c>
      <c r="K80" s="600">
        <f t="shared" si="9"/>
        <v>641.9999999999999</v>
      </c>
      <c r="L80" s="592"/>
      <c r="M80" s="592"/>
      <c r="N80" s="600">
        <f t="shared" si="10"/>
        <v>0</v>
      </c>
      <c r="O80" s="592"/>
      <c r="P80" s="592"/>
      <c r="Q80" s="600">
        <f t="shared" si="11"/>
        <v>0</v>
      </c>
    </row>
    <row r="81" spans="3:17" ht="17.25">
      <c r="C81" s="613">
        <v>13</v>
      </c>
      <c r="D81" s="137" t="s">
        <v>476</v>
      </c>
      <c r="E81" s="151"/>
      <c r="F81" s="152" t="s">
        <v>445</v>
      </c>
      <c r="G81" s="139">
        <v>1</v>
      </c>
      <c r="H81" s="140">
        <v>2021</v>
      </c>
      <c r="I81" s="135">
        <v>3468</v>
      </c>
      <c r="J81" s="592">
        <f t="shared" si="8"/>
        <v>57.2</v>
      </c>
      <c r="K81" s="600">
        <f t="shared" si="9"/>
        <v>1484.3039999999999</v>
      </c>
      <c r="L81" s="592"/>
      <c r="M81" s="592"/>
      <c r="N81" s="600">
        <f t="shared" si="10"/>
        <v>0</v>
      </c>
      <c r="O81" s="592"/>
      <c r="P81" s="592"/>
      <c r="Q81" s="600">
        <f t="shared" si="11"/>
        <v>0</v>
      </c>
    </row>
    <row r="82" spans="3:17" ht="17.25">
      <c r="C82" s="613">
        <v>29</v>
      </c>
      <c r="D82" s="601"/>
      <c r="E82" s="602"/>
      <c r="F82" s="592" t="s">
        <v>445</v>
      </c>
      <c r="G82" s="594"/>
      <c r="H82" s="592"/>
      <c r="I82" s="603"/>
      <c r="J82" s="592">
        <f t="shared" si="8"/>
        <v>100</v>
      </c>
      <c r="K82" s="600">
        <f t="shared" si="9"/>
        <v>0</v>
      </c>
      <c r="L82" s="592"/>
      <c r="M82" s="592"/>
      <c r="N82" s="600">
        <f t="shared" si="10"/>
        <v>0</v>
      </c>
      <c r="O82" s="592"/>
      <c r="P82" s="592"/>
      <c r="Q82" s="600">
        <f t="shared" si="11"/>
        <v>0</v>
      </c>
    </row>
    <row r="83" spans="3:17" ht="17.25">
      <c r="C83" s="613">
        <v>30</v>
      </c>
      <c r="D83" s="601"/>
      <c r="E83" s="602"/>
      <c r="F83" s="592" t="s">
        <v>445</v>
      </c>
      <c r="G83" s="594"/>
      <c r="H83" s="592"/>
      <c r="I83" s="603"/>
      <c r="J83" s="592">
        <f t="shared" si="8"/>
        <v>100</v>
      </c>
      <c r="K83" s="600">
        <f t="shared" si="9"/>
        <v>0</v>
      </c>
      <c r="L83" s="592"/>
      <c r="M83" s="592"/>
      <c r="N83" s="600">
        <f t="shared" si="10"/>
        <v>0</v>
      </c>
      <c r="O83" s="592"/>
      <c r="P83" s="592"/>
      <c r="Q83" s="600">
        <f t="shared" si="11"/>
        <v>0</v>
      </c>
    </row>
    <row r="84" spans="3:17" ht="34.5">
      <c r="C84" s="561"/>
      <c r="D84" s="608" t="s">
        <v>1117</v>
      </c>
      <c r="E84" s="602"/>
      <c r="F84" s="602"/>
      <c r="G84" s="609">
        <f>SUMIF(J69:J83,"&lt;100",G69:G83)</f>
        <v>25</v>
      </c>
      <c r="H84" s="602"/>
      <c r="I84" s="610"/>
      <c r="K84" s="611"/>
      <c r="L84" s="602"/>
      <c r="M84" s="602"/>
      <c r="N84" s="567"/>
      <c r="O84" s="602"/>
      <c r="P84" s="602"/>
      <c r="Q84" s="567"/>
    </row>
    <row r="85" spans="1:17" ht="69">
      <c r="A85" s="614"/>
      <c r="B85" s="614"/>
      <c r="C85" s="596">
        <v>2</v>
      </c>
      <c r="D85" s="597" t="s">
        <v>1118</v>
      </c>
      <c r="E85" s="596"/>
      <c r="F85" s="595"/>
      <c r="G85" s="598">
        <f>SUM(G86:G142)</f>
        <v>174</v>
      </c>
      <c r="H85" s="595"/>
      <c r="I85" s="599"/>
      <c r="J85" s="595"/>
      <c r="K85" s="599"/>
      <c r="L85" s="598">
        <f>SUM(L86:L142)</f>
        <v>8</v>
      </c>
      <c r="M85" s="595"/>
      <c r="N85" s="598">
        <f>SUM(N86:N142)</f>
        <v>1000</v>
      </c>
      <c r="O85" s="598">
        <f>SUM(O86:O142)</f>
        <v>2</v>
      </c>
      <c r="P85" s="595"/>
      <c r="Q85" s="598">
        <f>SUM(Q86:Q142)</f>
        <v>740</v>
      </c>
    </row>
    <row r="86" spans="3:17" ht="17.25">
      <c r="C86" s="592">
        <v>1</v>
      </c>
      <c r="D86" s="110" t="s">
        <v>477</v>
      </c>
      <c r="E86" s="151"/>
      <c r="F86" s="152" t="s">
        <v>445</v>
      </c>
      <c r="G86" s="153">
        <v>1</v>
      </c>
      <c r="H86" s="154">
        <v>2007</v>
      </c>
      <c r="I86" s="135">
        <v>10</v>
      </c>
      <c r="J86" s="592">
        <f aca="true" t="shared" si="12" ref="J86:J117">IF(($J$14-H86)*J$67&gt;100,100,($J$14-H86)*J$67)</f>
        <v>100</v>
      </c>
      <c r="K86" s="594">
        <f aca="true" t="shared" si="13" ref="K86:K142">IF(J86=100,0,I86-I86*J86%)</f>
        <v>0</v>
      </c>
      <c r="L86" s="592"/>
      <c r="M86" s="592"/>
      <c r="N86" s="600">
        <f aca="true" t="shared" si="14" ref="N86:N140">+L86*M86</f>
        <v>0</v>
      </c>
      <c r="O86" s="592"/>
      <c r="P86" s="592"/>
      <c r="Q86" s="600">
        <f aca="true" t="shared" si="15" ref="Q86:Q140">+O86*P86</f>
        <v>0</v>
      </c>
    </row>
    <row r="87" spans="3:17" ht="17.25">
      <c r="C87" s="592">
        <v>2</v>
      </c>
      <c r="D87" s="110" t="s">
        <v>478</v>
      </c>
      <c r="E87" s="151"/>
      <c r="F87" s="152" t="s">
        <v>445</v>
      </c>
      <c r="G87" s="153">
        <v>2</v>
      </c>
      <c r="H87" s="154">
        <v>2007</v>
      </c>
      <c r="I87" s="135">
        <v>20</v>
      </c>
      <c r="J87" s="592">
        <f t="shared" si="12"/>
        <v>100</v>
      </c>
      <c r="K87" s="594">
        <f t="shared" si="13"/>
        <v>0</v>
      </c>
      <c r="L87" s="592"/>
      <c r="M87" s="592"/>
      <c r="N87" s="600">
        <f t="shared" si="14"/>
        <v>0</v>
      </c>
      <c r="O87" s="592"/>
      <c r="P87" s="592"/>
      <c r="Q87" s="600">
        <f t="shared" si="15"/>
        <v>0</v>
      </c>
    </row>
    <row r="88" spans="3:17" ht="17.25">
      <c r="C88" s="592">
        <v>3</v>
      </c>
      <c r="D88" s="110" t="s">
        <v>479</v>
      </c>
      <c r="E88" s="151"/>
      <c r="F88" s="152" t="s">
        <v>445</v>
      </c>
      <c r="G88" s="153">
        <v>4</v>
      </c>
      <c r="H88" s="154">
        <v>2008</v>
      </c>
      <c r="I88" s="135">
        <v>60</v>
      </c>
      <c r="J88" s="592">
        <f t="shared" si="12"/>
        <v>100</v>
      </c>
      <c r="K88" s="594">
        <f t="shared" si="13"/>
        <v>0</v>
      </c>
      <c r="L88" s="592"/>
      <c r="M88" s="592"/>
      <c r="N88" s="600">
        <f t="shared" si="14"/>
        <v>0</v>
      </c>
      <c r="O88" s="592"/>
      <c r="P88" s="592"/>
      <c r="Q88" s="600">
        <f t="shared" si="15"/>
        <v>0</v>
      </c>
    </row>
    <row r="89" spans="3:17" ht="17.25">
      <c r="C89" s="592">
        <v>4</v>
      </c>
      <c r="D89" s="110" t="s">
        <v>480</v>
      </c>
      <c r="E89" s="151"/>
      <c r="F89" s="152" t="s">
        <v>445</v>
      </c>
      <c r="G89" s="153">
        <v>3</v>
      </c>
      <c r="H89" s="154">
        <v>2007</v>
      </c>
      <c r="I89" s="135">
        <v>45</v>
      </c>
      <c r="J89" s="592">
        <f t="shared" si="12"/>
        <v>100</v>
      </c>
      <c r="K89" s="594">
        <f t="shared" si="13"/>
        <v>0</v>
      </c>
      <c r="L89" s="592"/>
      <c r="M89" s="592"/>
      <c r="N89" s="600">
        <f t="shared" si="14"/>
        <v>0</v>
      </c>
      <c r="O89" s="592"/>
      <c r="P89" s="592"/>
      <c r="Q89" s="600">
        <f t="shared" si="15"/>
        <v>0</v>
      </c>
    </row>
    <row r="90" spans="3:17" ht="17.25">
      <c r="C90" s="592">
        <v>5</v>
      </c>
      <c r="D90" s="110" t="s">
        <v>481</v>
      </c>
      <c r="E90" s="151"/>
      <c r="F90" s="152" t="s">
        <v>445</v>
      </c>
      <c r="G90" s="153">
        <v>8</v>
      </c>
      <c r="H90" s="154">
        <v>2019</v>
      </c>
      <c r="I90" s="135">
        <v>144</v>
      </c>
      <c r="J90" s="592">
        <f t="shared" si="12"/>
        <v>85.80000000000001</v>
      </c>
      <c r="K90" s="594">
        <f t="shared" si="13"/>
        <v>20.44799999999998</v>
      </c>
      <c r="L90" s="592"/>
      <c r="M90" s="592"/>
      <c r="N90" s="600">
        <f t="shared" si="14"/>
        <v>0</v>
      </c>
      <c r="O90" s="592"/>
      <c r="P90" s="592"/>
      <c r="Q90" s="600">
        <f t="shared" si="15"/>
        <v>0</v>
      </c>
    </row>
    <row r="91" spans="3:17" ht="17.25">
      <c r="C91" s="592">
        <v>6</v>
      </c>
      <c r="D91" s="110" t="s">
        <v>482</v>
      </c>
      <c r="E91" s="151"/>
      <c r="F91" s="152" t="s">
        <v>445</v>
      </c>
      <c r="G91" s="153">
        <v>20</v>
      </c>
      <c r="H91" s="154">
        <v>2020</v>
      </c>
      <c r="I91" s="135">
        <v>378</v>
      </c>
      <c r="J91" s="592">
        <f t="shared" si="12"/>
        <v>71.5</v>
      </c>
      <c r="K91" s="594">
        <f t="shared" si="13"/>
        <v>107.73000000000002</v>
      </c>
      <c r="L91" s="592"/>
      <c r="M91" s="592"/>
      <c r="N91" s="600">
        <f t="shared" si="14"/>
        <v>0</v>
      </c>
      <c r="O91" s="592"/>
      <c r="P91" s="592"/>
      <c r="Q91" s="600">
        <f t="shared" si="15"/>
        <v>0</v>
      </c>
    </row>
    <row r="92" spans="3:17" ht="17.25">
      <c r="C92" s="592">
        <v>7</v>
      </c>
      <c r="D92" s="110" t="s">
        <v>483</v>
      </c>
      <c r="E92" s="151"/>
      <c r="F92" s="152" t="s">
        <v>445</v>
      </c>
      <c r="G92" s="153">
        <v>8</v>
      </c>
      <c r="H92" s="154">
        <v>2012</v>
      </c>
      <c r="I92" s="135">
        <v>153.528</v>
      </c>
      <c r="J92" s="592">
        <f t="shared" si="12"/>
        <v>100</v>
      </c>
      <c r="K92" s="594">
        <f t="shared" si="13"/>
        <v>0</v>
      </c>
      <c r="L92" s="592"/>
      <c r="M92" s="592"/>
      <c r="N92" s="600">
        <f t="shared" si="14"/>
        <v>0</v>
      </c>
      <c r="O92" s="592"/>
      <c r="P92" s="592"/>
      <c r="Q92" s="600">
        <f t="shared" si="15"/>
        <v>0</v>
      </c>
    </row>
    <row r="93" spans="3:17" ht="17.25">
      <c r="C93" s="592">
        <v>8</v>
      </c>
      <c r="D93" s="110" t="s">
        <v>484</v>
      </c>
      <c r="E93" s="151"/>
      <c r="F93" s="152" t="s">
        <v>445</v>
      </c>
      <c r="G93" s="153">
        <v>10</v>
      </c>
      <c r="H93" s="154">
        <v>2017</v>
      </c>
      <c r="I93" s="135">
        <v>204.82</v>
      </c>
      <c r="J93" s="592">
        <f t="shared" si="12"/>
        <v>100</v>
      </c>
      <c r="K93" s="594">
        <f t="shared" si="13"/>
        <v>0</v>
      </c>
      <c r="L93" s="592"/>
      <c r="M93" s="592"/>
      <c r="N93" s="600">
        <f t="shared" si="14"/>
        <v>0</v>
      </c>
      <c r="O93" s="592"/>
      <c r="P93" s="592"/>
      <c r="Q93" s="600">
        <f t="shared" si="15"/>
        <v>0</v>
      </c>
    </row>
    <row r="94" spans="3:17" ht="17.25">
      <c r="C94" s="592">
        <v>9</v>
      </c>
      <c r="D94" s="110" t="s">
        <v>485</v>
      </c>
      <c r="E94" s="151"/>
      <c r="F94" s="152" t="s">
        <v>445</v>
      </c>
      <c r="G94" s="154">
        <v>2</v>
      </c>
      <c r="H94" s="154">
        <v>2018</v>
      </c>
      <c r="I94" s="135">
        <v>48</v>
      </c>
      <c r="J94" s="592">
        <f t="shared" si="12"/>
        <v>100</v>
      </c>
      <c r="K94" s="594">
        <f t="shared" si="13"/>
        <v>0</v>
      </c>
      <c r="L94" s="592"/>
      <c r="M94" s="592"/>
      <c r="N94" s="600">
        <f t="shared" si="14"/>
        <v>0</v>
      </c>
      <c r="O94" s="592"/>
      <c r="P94" s="592"/>
      <c r="Q94" s="600">
        <f t="shared" si="15"/>
        <v>0</v>
      </c>
    </row>
    <row r="95" spans="3:17" ht="17.25">
      <c r="C95" s="592">
        <v>10</v>
      </c>
      <c r="D95" s="110" t="s">
        <v>486</v>
      </c>
      <c r="E95" s="151"/>
      <c r="F95" s="152" t="s">
        <v>445</v>
      </c>
      <c r="G95" s="154">
        <v>9</v>
      </c>
      <c r="H95" s="154">
        <v>2013</v>
      </c>
      <c r="I95" s="135">
        <v>219.213</v>
      </c>
      <c r="J95" s="592">
        <f t="shared" si="12"/>
        <v>100</v>
      </c>
      <c r="K95" s="594">
        <f t="shared" si="13"/>
        <v>0</v>
      </c>
      <c r="L95" s="592"/>
      <c r="M95" s="592"/>
      <c r="N95" s="600">
        <f t="shared" si="14"/>
        <v>0</v>
      </c>
      <c r="O95" s="592"/>
      <c r="P95" s="592"/>
      <c r="Q95" s="600">
        <f t="shared" si="15"/>
        <v>0</v>
      </c>
    </row>
    <row r="96" spans="3:17" ht="17.25">
      <c r="C96" s="592">
        <v>11</v>
      </c>
      <c r="D96" s="110" t="s">
        <v>487</v>
      </c>
      <c r="E96" s="151"/>
      <c r="F96" s="152" t="s">
        <v>445</v>
      </c>
      <c r="G96" s="153">
        <v>3</v>
      </c>
      <c r="H96" s="154">
        <v>2021</v>
      </c>
      <c r="I96" s="135">
        <v>75</v>
      </c>
      <c r="J96" s="592">
        <f t="shared" si="12"/>
        <v>57.2</v>
      </c>
      <c r="K96" s="594">
        <f t="shared" si="13"/>
        <v>32.099999999999994</v>
      </c>
      <c r="L96" s="592"/>
      <c r="M96" s="592"/>
      <c r="N96" s="600">
        <f t="shared" si="14"/>
        <v>0</v>
      </c>
      <c r="O96" s="592"/>
      <c r="P96" s="592"/>
      <c r="Q96" s="600">
        <f t="shared" si="15"/>
        <v>0</v>
      </c>
    </row>
    <row r="97" spans="3:17" ht="17.25">
      <c r="C97" s="592">
        <v>12</v>
      </c>
      <c r="D97" s="110" t="s">
        <v>488</v>
      </c>
      <c r="E97" s="151"/>
      <c r="F97" s="152" t="s">
        <v>445</v>
      </c>
      <c r="G97" s="139">
        <v>1</v>
      </c>
      <c r="H97" s="140">
        <v>2012</v>
      </c>
      <c r="I97" s="135">
        <v>26.4</v>
      </c>
      <c r="J97" s="592">
        <f t="shared" si="12"/>
        <v>100</v>
      </c>
      <c r="K97" s="594">
        <f t="shared" si="13"/>
        <v>0</v>
      </c>
      <c r="L97" s="604"/>
      <c r="M97" s="592"/>
      <c r="N97" s="600">
        <f t="shared" si="14"/>
        <v>0</v>
      </c>
      <c r="O97" s="592"/>
      <c r="P97" s="592"/>
      <c r="Q97" s="600">
        <f t="shared" si="15"/>
        <v>0</v>
      </c>
    </row>
    <row r="98" spans="3:17" ht="17.25">
      <c r="C98" s="592">
        <v>13</v>
      </c>
      <c r="D98" s="110" t="s">
        <v>489</v>
      </c>
      <c r="E98" s="151"/>
      <c r="F98" s="152" t="s">
        <v>445</v>
      </c>
      <c r="G98" s="139">
        <v>16</v>
      </c>
      <c r="H98" s="140">
        <v>2019</v>
      </c>
      <c r="I98" s="135">
        <v>440.4</v>
      </c>
      <c r="J98" s="592">
        <f t="shared" si="12"/>
        <v>85.80000000000001</v>
      </c>
      <c r="K98" s="594">
        <f t="shared" si="13"/>
        <v>62.53679999999997</v>
      </c>
      <c r="L98" s="604"/>
      <c r="M98" s="592"/>
      <c r="N98" s="600">
        <f t="shared" si="14"/>
        <v>0</v>
      </c>
      <c r="O98" s="592"/>
      <c r="P98" s="592"/>
      <c r="Q98" s="600">
        <f t="shared" si="15"/>
        <v>0</v>
      </c>
    </row>
    <row r="99" spans="3:17" ht="17.25">
      <c r="C99" s="592">
        <v>14</v>
      </c>
      <c r="D99" s="110" t="s">
        <v>490</v>
      </c>
      <c r="E99" s="151"/>
      <c r="F99" s="152" t="s">
        <v>445</v>
      </c>
      <c r="G99" s="153">
        <v>6</v>
      </c>
      <c r="H99" s="154">
        <v>2021</v>
      </c>
      <c r="I99" s="135">
        <v>179.4</v>
      </c>
      <c r="J99" s="592">
        <f t="shared" si="12"/>
        <v>57.2</v>
      </c>
      <c r="K99" s="594">
        <f t="shared" si="13"/>
        <v>76.7832</v>
      </c>
      <c r="L99" s="605"/>
      <c r="M99" s="615"/>
      <c r="N99" s="600">
        <f t="shared" si="14"/>
        <v>0</v>
      </c>
      <c r="O99" s="605"/>
      <c r="P99" s="615"/>
      <c r="Q99" s="600">
        <f t="shared" si="15"/>
        <v>0</v>
      </c>
    </row>
    <row r="100" spans="3:17" ht="17.25">
      <c r="C100" s="592">
        <v>15</v>
      </c>
      <c r="D100" s="110" t="s">
        <v>491</v>
      </c>
      <c r="E100" s="151"/>
      <c r="F100" s="152" t="s">
        <v>445</v>
      </c>
      <c r="G100" s="153">
        <v>6</v>
      </c>
      <c r="H100" s="154">
        <v>2007</v>
      </c>
      <c r="I100" s="135">
        <v>180</v>
      </c>
      <c r="J100" s="592">
        <f t="shared" si="12"/>
        <v>100</v>
      </c>
      <c r="K100" s="594">
        <f t="shared" si="13"/>
        <v>0</v>
      </c>
      <c r="L100" s="604"/>
      <c r="M100" s="592"/>
      <c r="N100" s="600">
        <f t="shared" si="14"/>
        <v>0</v>
      </c>
      <c r="O100" s="592"/>
      <c r="P100" s="592"/>
      <c r="Q100" s="600">
        <f t="shared" si="15"/>
        <v>0</v>
      </c>
    </row>
    <row r="101" spans="3:17" ht="17.25">
      <c r="C101" s="592">
        <v>16</v>
      </c>
      <c r="D101" s="110" t="s">
        <v>492</v>
      </c>
      <c r="E101" s="151"/>
      <c r="F101" s="152" t="s">
        <v>445</v>
      </c>
      <c r="G101" s="153">
        <v>1</v>
      </c>
      <c r="H101" s="154">
        <v>2018</v>
      </c>
      <c r="I101" s="135">
        <v>31</v>
      </c>
      <c r="J101" s="592">
        <f t="shared" si="12"/>
        <v>100</v>
      </c>
      <c r="K101" s="594">
        <f t="shared" si="13"/>
        <v>0</v>
      </c>
      <c r="L101" s="604"/>
      <c r="M101" s="592"/>
      <c r="N101" s="600">
        <f t="shared" si="14"/>
        <v>0</v>
      </c>
      <c r="O101" s="592"/>
      <c r="P101" s="592"/>
      <c r="Q101" s="600">
        <f t="shared" si="15"/>
        <v>0</v>
      </c>
    </row>
    <row r="102" spans="3:17" ht="17.25">
      <c r="C102" s="592">
        <v>17</v>
      </c>
      <c r="D102" s="110" t="s">
        <v>493</v>
      </c>
      <c r="E102" s="151"/>
      <c r="F102" s="152" t="s">
        <v>445</v>
      </c>
      <c r="G102" s="153">
        <v>6</v>
      </c>
      <c r="H102" s="154">
        <v>2013</v>
      </c>
      <c r="I102" s="135">
        <v>204.75</v>
      </c>
      <c r="J102" s="592">
        <f t="shared" si="12"/>
        <v>100</v>
      </c>
      <c r="K102" s="594">
        <f t="shared" si="13"/>
        <v>0</v>
      </c>
      <c r="L102" s="604"/>
      <c r="M102" s="592"/>
      <c r="N102" s="600">
        <f t="shared" si="14"/>
        <v>0</v>
      </c>
      <c r="O102" s="592"/>
      <c r="P102" s="592"/>
      <c r="Q102" s="600">
        <f t="shared" si="15"/>
        <v>0</v>
      </c>
    </row>
    <row r="103" spans="3:17" ht="17.25">
      <c r="C103" s="592">
        <v>18</v>
      </c>
      <c r="D103" s="110" t="s">
        <v>494</v>
      </c>
      <c r="E103" s="151"/>
      <c r="F103" s="152" t="s">
        <v>445</v>
      </c>
      <c r="G103" s="153">
        <v>1</v>
      </c>
      <c r="H103" s="154">
        <v>2015</v>
      </c>
      <c r="I103" s="135">
        <v>35.206</v>
      </c>
      <c r="J103" s="592">
        <f t="shared" si="12"/>
        <v>100</v>
      </c>
      <c r="K103" s="594">
        <f t="shared" si="13"/>
        <v>0</v>
      </c>
      <c r="L103" s="605"/>
      <c r="M103" s="615"/>
      <c r="N103" s="600">
        <f t="shared" si="14"/>
        <v>0</v>
      </c>
      <c r="O103" s="605"/>
      <c r="P103" s="615"/>
      <c r="Q103" s="600">
        <f t="shared" si="15"/>
        <v>0</v>
      </c>
    </row>
    <row r="104" spans="3:17" ht="17.25">
      <c r="C104" s="592">
        <v>19</v>
      </c>
      <c r="D104" s="110" t="s">
        <v>495</v>
      </c>
      <c r="E104" s="151"/>
      <c r="F104" s="152" t="s">
        <v>445</v>
      </c>
      <c r="G104" s="153">
        <v>3</v>
      </c>
      <c r="H104" s="154">
        <v>2015</v>
      </c>
      <c r="I104" s="135">
        <v>141.3</v>
      </c>
      <c r="J104" s="592">
        <f t="shared" si="12"/>
        <v>100</v>
      </c>
      <c r="K104" s="594">
        <f t="shared" si="13"/>
        <v>0</v>
      </c>
      <c r="L104" s="604"/>
      <c r="M104" s="592"/>
      <c r="N104" s="600">
        <f t="shared" si="14"/>
        <v>0</v>
      </c>
      <c r="O104" s="592"/>
      <c r="P104" s="592"/>
      <c r="Q104" s="600">
        <f t="shared" si="15"/>
        <v>0</v>
      </c>
    </row>
    <row r="105" spans="3:17" ht="17.25">
      <c r="C105" s="592">
        <v>20</v>
      </c>
      <c r="D105" s="110" t="s">
        <v>496</v>
      </c>
      <c r="E105" s="151"/>
      <c r="F105" s="152" t="s">
        <v>445</v>
      </c>
      <c r="G105" s="153">
        <v>2</v>
      </c>
      <c r="H105" s="154">
        <v>2008</v>
      </c>
      <c r="I105" s="135">
        <v>100</v>
      </c>
      <c r="J105" s="592">
        <f t="shared" si="12"/>
        <v>100</v>
      </c>
      <c r="K105" s="594">
        <f t="shared" si="13"/>
        <v>0</v>
      </c>
      <c r="L105" s="605"/>
      <c r="M105" s="615"/>
      <c r="N105" s="600">
        <f t="shared" si="14"/>
        <v>0</v>
      </c>
      <c r="O105" s="605"/>
      <c r="P105" s="615"/>
      <c r="Q105" s="600">
        <f t="shared" si="15"/>
        <v>0</v>
      </c>
    </row>
    <row r="106" spans="3:17" ht="17.25">
      <c r="C106" s="592">
        <v>21</v>
      </c>
      <c r="D106" s="110" t="s">
        <v>497</v>
      </c>
      <c r="E106" s="151"/>
      <c r="F106" s="152" t="s">
        <v>445</v>
      </c>
      <c r="G106" s="153">
        <v>5</v>
      </c>
      <c r="H106" s="154">
        <v>2008</v>
      </c>
      <c r="I106" s="135">
        <v>250</v>
      </c>
      <c r="J106" s="592">
        <f t="shared" si="12"/>
        <v>100</v>
      </c>
      <c r="K106" s="594">
        <f t="shared" si="13"/>
        <v>0</v>
      </c>
      <c r="L106" s="604"/>
      <c r="M106" s="592"/>
      <c r="N106" s="600">
        <f t="shared" si="14"/>
        <v>0</v>
      </c>
      <c r="O106" s="592"/>
      <c r="P106" s="592"/>
      <c r="Q106" s="600">
        <f t="shared" si="15"/>
        <v>0</v>
      </c>
    </row>
    <row r="107" spans="3:17" ht="17.25">
      <c r="C107" s="592">
        <v>22</v>
      </c>
      <c r="D107" s="110" t="s">
        <v>496</v>
      </c>
      <c r="E107" s="151"/>
      <c r="F107" s="152" t="s">
        <v>445</v>
      </c>
      <c r="G107" s="153">
        <v>2</v>
      </c>
      <c r="H107" s="154">
        <v>2008</v>
      </c>
      <c r="I107" s="135">
        <v>100</v>
      </c>
      <c r="J107" s="592">
        <f t="shared" si="12"/>
        <v>100</v>
      </c>
      <c r="K107" s="594">
        <f t="shared" si="13"/>
        <v>0</v>
      </c>
      <c r="L107" s="592"/>
      <c r="M107" s="592"/>
      <c r="N107" s="600">
        <f t="shared" si="14"/>
        <v>0</v>
      </c>
      <c r="O107" s="592"/>
      <c r="P107" s="592"/>
      <c r="Q107" s="600">
        <f t="shared" si="15"/>
        <v>0</v>
      </c>
    </row>
    <row r="108" spans="3:17" ht="17.25">
      <c r="C108" s="592">
        <v>23</v>
      </c>
      <c r="D108" s="110" t="s">
        <v>498</v>
      </c>
      <c r="E108" s="151"/>
      <c r="F108" s="152" t="s">
        <v>445</v>
      </c>
      <c r="G108" s="153">
        <v>10</v>
      </c>
      <c r="H108" s="154">
        <v>2019</v>
      </c>
      <c r="I108" s="135">
        <v>550</v>
      </c>
      <c r="J108" s="592">
        <f t="shared" si="12"/>
        <v>85.80000000000001</v>
      </c>
      <c r="K108" s="594">
        <f t="shared" si="13"/>
        <v>78.09999999999997</v>
      </c>
      <c r="L108" s="592"/>
      <c r="M108" s="592"/>
      <c r="N108" s="600">
        <f t="shared" si="14"/>
        <v>0</v>
      </c>
      <c r="O108" s="592"/>
      <c r="P108" s="592"/>
      <c r="Q108" s="600">
        <f t="shared" si="15"/>
        <v>0</v>
      </c>
    </row>
    <row r="109" spans="3:17" ht="17.25">
      <c r="C109" s="592">
        <v>24</v>
      </c>
      <c r="D109" s="110" t="s">
        <v>499</v>
      </c>
      <c r="E109" s="151"/>
      <c r="F109" s="152" t="s">
        <v>445</v>
      </c>
      <c r="G109" s="153">
        <v>1</v>
      </c>
      <c r="H109" s="154">
        <v>2016</v>
      </c>
      <c r="I109" s="135">
        <v>58.34344</v>
      </c>
      <c r="J109" s="592">
        <f t="shared" si="12"/>
        <v>100</v>
      </c>
      <c r="K109" s="594">
        <f t="shared" si="13"/>
        <v>0</v>
      </c>
      <c r="L109" s="592"/>
      <c r="M109" s="592"/>
      <c r="N109" s="600">
        <f t="shared" si="14"/>
        <v>0</v>
      </c>
      <c r="O109" s="592"/>
      <c r="P109" s="592"/>
      <c r="Q109" s="600">
        <f t="shared" si="15"/>
        <v>0</v>
      </c>
    </row>
    <row r="110" spans="3:17" ht="17.25">
      <c r="C110" s="592">
        <v>25</v>
      </c>
      <c r="D110" s="110" t="s">
        <v>500</v>
      </c>
      <c r="E110" s="151"/>
      <c r="F110" s="152" t="s">
        <v>445</v>
      </c>
      <c r="G110" s="153">
        <v>1</v>
      </c>
      <c r="H110" s="154">
        <v>2003</v>
      </c>
      <c r="I110" s="135">
        <v>70</v>
      </c>
      <c r="J110" s="592">
        <f t="shared" si="12"/>
        <v>100</v>
      </c>
      <c r="K110" s="594">
        <f>IF(J110=100,0,I110-I110*J110%)</f>
        <v>0</v>
      </c>
      <c r="L110" s="592"/>
      <c r="M110" s="592"/>
      <c r="N110" s="600">
        <f t="shared" si="14"/>
        <v>0</v>
      </c>
      <c r="O110" s="592"/>
      <c r="P110" s="592"/>
      <c r="Q110" s="600">
        <f t="shared" si="15"/>
        <v>0</v>
      </c>
    </row>
    <row r="111" spans="3:17" ht="17.25">
      <c r="C111" s="592">
        <v>26</v>
      </c>
      <c r="D111" s="110" t="s">
        <v>501</v>
      </c>
      <c r="E111" s="151"/>
      <c r="F111" s="152" t="s">
        <v>445</v>
      </c>
      <c r="G111" s="153">
        <v>5</v>
      </c>
      <c r="H111" s="154">
        <v>2019</v>
      </c>
      <c r="I111" s="135">
        <v>450</v>
      </c>
      <c r="J111" s="592">
        <f t="shared" si="12"/>
        <v>85.80000000000001</v>
      </c>
      <c r="K111" s="594">
        <f>IF(J111=100,0,I111-I111*J111%)</f>
        <v>63.89999999999998</v>
      </c>
      <c r="L111" s="592"/>
      <c r="M111" s="592"/>
      <c r="N111" s="600">
        <f t="shared" si="14"/>
        <v>0</v>
      </c>
      <c r="O111" s="592"/>
      <c r="P111" s="592"/>
      <c r="Q111" s="600">
        <f t="shared" si="15"/>
        <v>0</v>
      </c>
    </row>
    <row r="112" spans="3:17" ht="17.25">
      <c r="C112" s="592">
        <v>27</v>
      </c>
      <c r="D112" s="110" t="s">
        <v>502</v>
      </c>
      <c r="E112" s="151"/>
      <c r="F112" s="152" t="s">
        <v>445</v>
      </c>
      <c r="G112" s="153">
        <v>4</v>
      </c>
      <c r="H112" s="154">
        <v>2019</v>
      </c>
      <c r="I112" s="135">
        <v>393.12</v>
      </c>
      <c r="J112" s="592">
        <f t="shared" si="12"/>
        <v>85.80000000000001</v>
      </c>
      <c r="K112" s="594">
        <f t="shared" si="13"/>
        <v>55.823039999999935</v>
      </c>
      <c r="L112" s="592"/>
      <c r="M112" s="592"/>
      <c r="N112" s="600">
        <f t="shared" si="14"/>
        <v>0</v>
      </c>
      <c r="O112" s="592"/>
      <c r="P112" s="592"/>
      <c r="Q112" s="600">
        <f t="shared" si="15"/>
        <v>0</v>
      </c>
    </row>
    <row r="113" spans="3:17" ht="17.25">
      <c r="C113" s="592">
        <v>28</v>
      </c>
      <c r="D113" s="110" t="s">
        <v>503</v>
      </c>
      <c r="E113" s="151"/>
      <c r="F113" s="152" t="s">
        <v>445</v>
      </c>
      <c r="G113" s="153">
        <v>1</v>
      </c>
      <c r="H113" s="154">
        <v>2008</v>
      </c>
      <c r="I113" s="135">
        <v>100</v>
      </c>
      <c r="J113" s="592">
        <f t="shared" si="12"/>
        <v>100</v>
      </c>
      <c r="K113" s="594">
        <f t="shared" si="13"/>
        <v>0</v>
      </c>
      <c r="L113" s="592"/>
      <c r="M113" s="592"/>
      <c r="N113" s="600">
        <f t="shared" si="14"/>
        <v>0</v>
      </c>
      <c r="O113" s="592"/>
      <c r="P113" s="592"/>
      <c r="Q113" s="600">
        <f t="shared" si="15"/>
        <v>0</v>
      </c>
    </row>
    <row r="114" spans="3:17" ht="17.25">
      <c r="C114" s="592">
        <v>29</v>
      </c>
      <c r="D114" s="110" t="s">
        <v>504</v>
      </c>
      <c r="E114" s="151"/>
      <c r="F114" s="152" t="s">
        <v>445</v>
      </c>
      <c r="G114" s="153">
        <v>1</v>
      </c>
      <c r="H114" s="154">
        <v>2008</v>
      </c>
      <c r="I114" s="135">
        <v>100</v>
      </c>
      <c r="J114" s="592">
        <f t="shared" si="12"/>
        <v>100</v>
      </c>
      <c r="K114" s="594">
        <f t="shared" si="13"/>
        <v>0</v>
      </c>
      <c r="L114" s="592"/>
      <c r="M114" s="592"/>
      <c r="N114" s="600">
        <f t="shared" si="14"/>
        <v>0</v>
      </c>
      <c r="O114" s="592"/>
      <c r="P114" s="592"/>
      <c r="Q114" s="600">
        <f t="shared" si="15"/>
        <v>0</v>
      </c>
    </row>
    <row r="115" spans="3:17" ht="17.25">
      <c r="C115" s="592">
        <v>30</v>
      </c>
      <c r="D115" s="110" t="s">
        <v>505</v>
      </c>
      <c r="E115" s="151"/>
      <c r="F115" s="152" t="s">
        <v>445</v>
      </c>
      <c r="G115" s="139">
        <v>1</v>
      </c>
      <c r="H115" s="140">
        <v>2015</v>
      </c>
      <c r="I115" s="135">
        <v>109.43</v>
      </c>
      <c r="J115" s="592">
        <f t="shared" si="12"/>
        <v>100</v>
      </c>
      <c r="K115" s="594">
        <f t="shared" si="13"/>
        <v>0</v>
      </c>
      <c r="L115" s="592"/>
      <c r="M115" s="592"/>
      <c r="N115" s="600">
        <f t="shared" si="14"/>
        <v>0</v>
      </c>
      <c r="O115" s="592"/>
      <c r="P115" s="592"/>
      <c r="Q115" s="600">
        <f t="shared" si="15"/>
        <v>0</v>
      </c>
    </row>
    <row r="116" spans="3:17" ht="17.25">
      <c r="C116" s="592">
        <v>31</v>
      </c>
      <c r="D116" s="110" t="s">
        <v>506</v>
      </c>
      <c r="E116" s="151"/>
      <c r="F116" s="152" t="s">
        <v>445</v>
      </c>
      <c r="G116" s="139">
        <v>1</v>
      </c>
      <c r="H116" s="140">
        <v>2019</v>
      </c>
      <c r="I116" s="135">
        <v>125.4</v>
      </c>
      <c r="J116" s="592">
        <f t="shared" si="12"/>
        <v>85.80000000000001</v>
      </c>
      <c r="K116" s="594">
        <f t="shared" si="13"/>
        <v>17.806799999999996</v>
      </c>
      <c r="L116" s="592"/>
      <c r="M116" s="592"/>
      <c r="N116" s="600">
        <f t="shared" si="14"/>
        <v>0</v>
      </c>
      <c r="O116" s="592"/>
      <c r="P116" s="592"/>
      <c r="Q116" s="600">
        <f t="shared" si="15"/>
        <v>0</v>
      </c>
    </row>
    <row r="117" spans="3:17" ht="17.25">
      <c r="C117" s="592">
        <v>32</v>
      </c>
      <c r="D117" s="110" t="s">
        <v>507</v>
      </c>
      <c r="E117" s="151"/>
      <c r="F117" s="152" t="s">
        <v>445</v>
      </c>
      <c r="G117" s="139">
        <v>1</v>
      </c>
      <c r="H117" s="140">
        <v>2019</v>
      </c>
      <c r="I117" s="135">
        <v>131.74648000000002</v>
      </c>
      <c r="J117" s="592">
        <f t="shared" si="12"/>
        <v>85.80000000000001</v>
      </c>
      <c r="K117" s="594">
        <f t="shared" si="13"/>
        <v>18.708000159999983</v>
      </c>
      <c r="L117" s="592"/>
      <c r="M117" s="592"/>
      <c r="N117" s="600">
        <f t="shared" si="14"/>
        <v>0</v>
      </c>
      <c r="O117" s="592"/>
      <c r="P117" s="592"/>
      <c r="Q117" s="600">
        <f t="shared" si="15"/>
        <v>0</v>
      </c>
    </row>
    <row r="118" spans="3:17" ht="17.25">
      <c r="C118" s="592">
        <v>33</v>
      </c>
      <c r="D118" s="110" t="s">
        <v>508</v>
      </c>
      <c r="E118" s="151"/>
      <c r="F118" s="152" t="s">
        <v>445</v>
      </c>
      <c r="G118" s="139">
        <v>1</v>
      </c>
      <c r="H118" s="140">
        <v>2013</v>
      </c>
      <c r="I118" s="135">
        <v>135.619</v>
      </c>
      <c r="J118" s="592">
        <f aca="true" t="shared" si="16" ref="J118:J142">IF(($J$14-H118)*J$67&gt;100,100,($J$14-H118)*J$67)</f>
        <v>100</v>
      </c>
      <c r="K118" s="594">
        <f t="shared" si="13"/>
        <v>0</v>
      </c>
      <c r="L118" s="592"/>
      <c r="M118" s="592"/>
      <c r="N118" s="600">
        <f t="shared" si="14"/>
        <v>0</v>
      </c>
      <c r="O118" s="592"/>
      <c r="P118" s="592"/>
      <c r="Q118" s="600">
        <f t="shared" si="15"/>
        <v>0</v>
      </c>
    </row>
    <row r="119" spans="3:17" ht="17.25">
      <c r="C119" s="592">
        <v>34</v>
      </c>
      <c r="D119" s="110" t="s">
        <v>509</v>
      </c>
      <c r="E119" s="151"/>
      <c r="F119" s="152" t="s">
        <v>445</v>
      </c>
      <c r="G119" s="139">
        <v>3</v>
      </c>
      <c r="H119" s="140">
        <v>2015</v>
      </c>
      <c r="I119" s="135">
        <v>495.3</v>
      </c>
      <c r="J119" s="592">
        <f t="shared" si="16"/>
        <v>100</v>
      </c>
      <c r="K119" s="594">
        <f t="shared" si="13"/>
        <v>0</v>
      </c>
      <c r="L119" s="592"/>
      <c r="M119" s="592"/>
      <c r="N119" s="600">
        <f t="shared" si="14"/>
        <v>0</v>
      </c>
      <c r="O119" s="592"/>
      <c r="P119" s="592"/>
      <c r="Q119" s="600">
        <f t="shared" si="15"/>
        <v>0</v>
      </c>
    </row>
    <row r="120" spans="3:17" ht="17.25">
      <c r="C120" s="592">
        <v>35</v>
      </c>
      <c r="D120" s="110" t="s">
        <v>510</v>
      </c>
      <c r="E120" s="151"/>
      <c r="F120" s="152" t="s">
        <v>445</v>
      </c>
      <c r="G120" s="139">
        <v>1</v>
      </c>
      <c r="H120" s="140">
        <v>2015</v>
      </c>
      <c r="I120" s="135">
        <v>165.81336</v>
      </c>
      <c r="J120" s="592">
        <f t="shared" si="16"/>
        <v>100</v>
      </c>
      <c r="K120" s="594">
        <f t="shared" si="13"/>
        <v>0</v>
      </c>
      <c r="L120" s="592"/>
      <c r="M120" s="592"/>
      <c r="N120" s="600">
        <f t="shared" si="14"/>
        <v>0</v>
      </c>
      <c r="O120" s="592"/>
      <c r="P120" s="592"/>
      <c r="Q120" s="600">
        <f t="shared" si="15"/>
        <v>0</v>
      </c>
    </row>
    <row r="121" spans="3:17" ht="17.25">
      <c r="C121" s="592">
        <v>36</v>
      </c>
      <c r="D121" s="110" t="s">
        <v>511</v>
      </c>
      <c r="E121" s="151"/>
      <c r="F121" s="152" t="s">
        <v>445</v>
      </c>
      <c r="G121" s="139">
        <v>1</v>
      </c>
      <c r="H121" s="140">
        <v>2015</v>
      </c>
      <c r="I121" s="135">
        <v>191.3909</v>
      </c>
      <c r="J121" s="592">
        <f t="shared" si="16"/>
        <v>100</v>
      </c>
      <c r="K121" s="594">
        <f t="shared" si="13"/>
        <v>0</v>
      </c>
      <c r="L121" s="592"/>
      <c r="M121" s="592"/>
      <c r="N121" s="600">
        <f t="shared" si="14"/>
        <v>0</v>
      </c>
      <c r="O121" s="592"/>
      <c r="P121" s="592"/>
      <c r="Q121" s="600">
        <f t="shared" si="15"/>
        <v>0</v>
      </c>
    </row>
    <row r="122" spans="3:17" ht="17.25">
      <c r="C122" s="592">
        <v>37</v>
      </c>
      <c r="D122" s="110" t="s">
        <v>512</v>
      </c>
      <c r="E122" s="151"/>
      <c r="F122" s="152" t="s">
        <v>445</v>
      </c>
      <c r="G122" s="139">
        <v>2</v>
      </c>
      <c r="H122" s="140">
        <v>2017</v>
      </c>
      <c r="I122" s="135">
        <v>387.6</v>
      </c>
      <c r="J122" s="592">
        <f t="shared" si="16"/>
        <v>100</v>
      </c>
      <c r="K122" s="594">
        <f t="shared" si="13"/>
        <v>0</v>
      </c>
      <c r="L122" s="592"/>
      <c r="M122" s="592"/>
      <c r="N122" s="600">
        <f t="shared" si="14"/>
        <v>0</v>
      </c>
      <c r="O122" s="592"/>
      <c r="P122" s="592"/>
      <c r="Q122" s="600">
        <f t="shared" si="15"/>
        <v>0</v>
      </c>
    </row>
    <row r="123" spans="3:17" ht="17.25">
      <c r="C123" s="592">
        <v>38</v>
      </c>
      <c r="D123" s="110" t="s">
        <v>513</v>
      </c>
      <c r="E123" s="151"/>
      <c r="F123" s="152" t="s">
        <v>445</v>
      </c>
      <c r="G123" s="139">
        <v>3</v>
      </c>
      <c r="H123" s="140">
        <v>2015</v>
      </c>
      <c r="I123" s="135">
        <v>599.19</v>
      </c>
      <c r="J123" s="592">
        <f t="shared" si="16"/>
        <v>100</v>
      </c>
      <c r="K123" s="594">
        <f t="shared" si="13"/>
        <v>0</v>
      </c>
      <c r="L123" s="604"/>
      <c r="M123" s="592"/>
      <c r="N123" s="600">
        <f t="shared" si="14"/>
        <v>0</v>
      </c>
      <c r="O123" s="592"/>
      <c r="P123" s="592"/>
      <c r="Q123" s="600">
        <f t="shared" si="15"/>
        <v>0</v>
      </c>
    </row>
    <row r="124" spans="3:17" ht="17.25">
      <c r="C124" s="592">
        <v>39</v>
      </c>
      <c r="D124" s="110" t="s">
        <v>514</v>
      </c>
      <c r="E124" s="151"/>
      <c r="F124" s="152" t="s">
        <v>445</v>
      </c>
      <c r="G124" s="139">
        <v>1</v>
      </c>
      <c r="H124" s="140">
        <v>2019</v>
      </c>
      <c r="I124" s="135">
        <v>228.39</v>
      </c>
      <c r="J124" s="592">
        <f t="shared" si="16"/>
        <v>85.80000000000001</v>
      </c>
      <c r="K124" s="594">
        <f t="shared" si="13"/>
        <v>32.43137999999999</v>
      </c>
      <c r="L124" s="604"/>
      <c r="M124" s="592"/>
      <c r="N124" s="600">
        <f t="shared" si="14"/>
        <v>0</v>
      </c>
      <c r="O124" s="592"/>
      <c r="P124" s="592"/>
      <c r="Q124" s="600">
        <f t="shared" si="15"/>
        <v>0</v>
      </c>
    </row>
    <row r="125" spans="3:17" ht="17.25">
      <c r="C125" s="592">
        <v>40</v>
      </c>
      <c r="D125" s="110" t="s">
        <v>515</v>
      </c>
      <c r="E125" s="151"/>
      <c r="F125" s="152" t="s">
        <v>445</v>
      </c>
      <c r="G125" s="139">
        <v>5</v>
      </c>
      <c r="H125" s="140">
        <v>2015</v>
      </c>
      <c r="I125" s="135">
        <v>1234.25</v>
      </c>
      <c r="J125" s="592">
        <f t="shared" si="16"/>
        <v>100</v>
      </c>
      <c r="K125" s="594">
        <f t="shared" si="13"/>
        <v>0</v>
      </c>
      <c r="L125" s="604"/>
      <c r="M125" s="592"/>
      <c r="N125" s="600">
        <f t="shared" si="14"/>
        <v>0</v>
      </c>
      <c r="O125" s="592"/>
      <c r="P125" s="592"/>
      <c r="Q125" s="600">
        <f t="shared" si="15"/>
        <v>0</v>
      </c>
    </row>
    <row r="126" spans="3:17" ht="17.25">
      <c r="C126" s="592">
        <v>41</v>
      </c>
      <c r="D126" s="110" t="s">
        <v>516</v>
      </c>
      <c r="E126" s="151"/>
      <c r="F126" s="152" t="s">
        <v>445</v>
      </c>
      <c r="G126" s="139">
        <v>1</v>
      </c>
      <c r="H126" s="140">
        <v>2015</v>
      </c>
      <c r="I126" s="135">
        <v>256.05</v>
      </c>
      <c r="J126" s="592">
        <f t="shared" si="16"/>
        <v>100</v>
      </c>
      <c r="K126" s="594">
        <f t="shared" si="13"/>
        <v>0</v>
      </c>
      <c r="L126" s="605"/>
      <c r="M126" s="605"/>
      <c r="N126" s="600">
        <f t="shared" si="14"/>
        <v>0</v>
      </c>
      <c r="O126" s="605"/>
      <c r="P126" s="605"/>
      <c r="Q126" s="600">
        <f t="shared" si="15"/>
        <v>0</v>
      </c>
    </row>
    <row r="127" spans="3:17" ht="17.25">
      <c r="C127" s="592">
        <v>42</v>
      </c>
      <c r="D127" s="110" t="s">
        <v>517</v>
      </c>
      <c r="E127" s="151"/>
      <c r="F127" s="152" t="s">
        <v>445</v>
      </c>
      <c r="G127" s="139">
        <v>1</v>
      </c>
      <c r="H127" s="140">
        <v>2015</v>
      </c>
      <c r="I127" s="135">
        <v>292.7485</v>
      </c>
      <c r="J127" s="592">
        <f t="shared" si="16"/>
        <v>100</v>
      </c>
      <c r="K127" s="594">
        <f t="shared" si="13"/>
        <v>0</v>
      </c>
      <c r="L127" s="604"/>
      <c r="M127" s="592"/>
      <c r="N127" s="600">
        <f t="shared" si="14"/>
        <v>0</v>
      </c>
      <c r="O127" s="592"/>
      <c r="P127" s="592"/>
      <c r="Q127" s="600">
        <f t="shared" si="15"/>
        <v>0</v>
      </c>
    </row>
    <row r="128" spans="3:17" ht="17.25">
      <c r="C128" s="592">
        <v>43</v>
      </c>
      <c r="D128" s="110" t="s">
        <v>517</v>
      </c>
      <c r="E128" s="151"/>
      <c r="F128" s="152" t="s">
        <v>445</v>
      </c>
      <c r="G128" s="139">
        <v>1</v>
      </c>
      <c r="H128" s="140">
        <v>2015</v>
      </c>
      <c r="I128" s="135">
        <v>391.65</v>
      </c>
      <c r="J128" s="592">
        <f t="shared" si="16"/>
        <v>100</v>
      </c>
      <c r="K128" s="594">
        <f t="shared" si="13"/>
        <v>0</v>
      </c>
      <c r="L128" s="604"/>
      <c r="M128" s="592"/>
      <c r="N128" s="600">
        <f t="shared" si="14"/>
        <v>0</v>
      </c>
      <c r="O128" s="592"/>
      <c r="P128" s="592"/>
      <c r="Q128" s="600">
        <f t="shared" si="15"/>
        <v>0</v>
      </c>
    </row>
    <row r="129" spans="3:17" ht="17.25">
      <c r="C129" s="592">
        <v>44</v>
      </c>
      <c r="D129" s="110" t="s">
        <v>518</v>
      </c>
      <c r="E129" s="151"/>
      <c r="F129" s="156" t="s">
        <v>445</v>
      </c>
      <c r="G129" s="139">
        <v>1</v>
      </c>
      <c r="H129" s="140">
        <v>2012</v>
      </c>
      <c r="I129" s="135">
        <v>656.191</v>
      </c>
      <c r="J129" s="592">
        <f t="shared" si="16"/>
        <v>100</v>
      </c>
      <c r="K129" s="594">
        <f t="shared" si="13"/>
        <v>0</v>
      </c>
      <c r="L129" s="592"/>
      <c r="M129" s="592"/>
      <c r="N129" s="600">
        <f t="shared" si="14"/>
        <v>0</v>
      </c>
      <c r="O129" s="592"/>
      <c r="P129" s="592"/>
      <c r="Q129" s="600">
        <f t="shared" si="15"/>
        <v>0</v>
      </c>
    </row>
    <row r="130" spans="3:17" ht="17.25">
      <c r="C130" s="592">
        <v>45</v>
      </c>
      <c r="D130" s="110" t="s">
        <v>519</v>
      </c>
      <c r="E130" s="151"/>
      <c r="F130" s="157" t="s">
        <v>445</v>
      </c>
      <c r="G130" s="139">
        <v>1</v>
      </c>
      <c r="H130" s="140">
        <v>2013</v>
      </c>
      <c r="I130" s="135">
        <v>700</v>
      </c>
      <c r="J130" s="592">
        <f t="shared" si="16"/>
        <v>100</v>
      </c>
      <c r="K130" s="594">
        <f t="shared" si="13"/>
        <v>0</v>
      </c>
      <c r="L130" s="592"/>
      <c r="M130" s="592"/>
      <c r="N130" s="600">
        <f t="shared" si="14"/>
        <v>0</v>
      </c>
      <c r="O130" s="592"/>
      <c r="P130" s="592"/>
      <c r="Q130" s="600">
        <f t="shared" si="15"/>
        <v>0</v>
      </c>
    </row>
    <row r="131" spans="3:17" ht="17.25">
      <c r="C131" s="592">
        <v>46</v>
      </c>
      <c r="D131" s="110" t="s">
        <v>520</v>
      </c>
      <c r="E131" s="151"/>
      <c r="F131" s="157" t="s">
        <v>445</v>
      </c>
      <c r="G131" s="139">
        <v>1</v>
      </c>
      <c r="H131" s="140">
        <v>2008</v>
      </c>
      <c r="I131" s="135">
        <v>1000</v>
      </c>
      <c r="J131" s="592">
        <f t="shared" si="16"/>
        <v>100</v>
      </c>
      <c r="K131" s="594">
        <f t="shared" si="13"/>
        <v>0</v>
      </c>
      <c r="L131" s="592"/>
      <c r="M131" s="592"/>
      <c r="N131" s="600">
        <f t="shared" si="14"/>
        <v>0</v>
      </c>
      <c r="O131" s="592"/>
      <c r="P131" s="592"/>
      <c r="Q131" s="600">
        <f t="shared" si="15"/>
        <v>0</v>
      </c>
    </row>
    <row r="132" spans="3:17" ht="17.25">
      <c r="C132" s="592">
        <v>47</v>
      </c>
      <c r="D132" s="158" t="s">
        <v>521</v>
      </c>
      <c r="E132" s="148"/>
      <c r="F132" s="159" t="s">
        <v>445</v>
      </c>
      <c r="G132" s="134">
        <v>1</v>
      </c>
      <c r="H132" s="134">
        <v>2015</v>
      </c>
      <c r="I132" s="135">
        <v>81.5</v>
      </c>
      <c r="J132" s="592">
        <f t="shared" si="16"/>
        <v>100</v>
      </c>
      <c r="K132" s="594">
        <f t="shared" si="13"/>
        <v>0</v>
      </c>
      <c r="L132" s="592"/>
      <c r="M132" s="592"/>
      <c r="N132" s="600">
        <f t="shared" si="14"/>
        <v>0</v>
      </c>
      <c r="O132" s="592"/>
      <c r="P132" s="592"/>
      <c r="Q132" s="600">
        <f t="shared" si="15"/>
        <v>0</v>
      </c>
    </row>
    <row r="133" spans="3:17" ht="17.25">
      <c r="C133" s="592">
        <v>48</v>
      </c>
      <c r="D133" s="143" t="s">
        <v>522</v>
      </c>
      <c r="E133" s="148"/>
      <c r="F133" s="159" t="s">
        <v>445</v>
      </c>
      <c r="G133" s="134">
        <v>1</v>
      </c>
      <c r="H133" s="134">
        <v>2015</v>
      </c>
      <c r="I133" s="135">
        <v>49.93</v>
      </c>
      <c r="J133" s="592">
        <f t="shared" si="16"/>
        <v>100</v>
      </c>
      <c r="K133" s="594">
        <f t="shared" si="13"/>
        <v>0</v>
      </c>
      <c r="L133" s="592"/>
      <c r="M133" s="592"/>
      <c r="N133" s="600">
        <f t="shared" si="14"/>
        <v>0</v>
      </c>
      <c r="O133" s="592"/>
      <c r="P133" s="592"/>
      <c r="Q133" s="600">
        <f t="shared" si="15"/>
        <v>0</v>
      </c>
    </row>
    <row r="134" spans="3:17" ht="17.25">
      <c r="C134" s="592">
        <v>49</v>
      </c>
      <c r="D134" s="110" t="s">
        <v>482</v>
      </c>
      <c r="E134" s="148"/>
      <c r="F134" s="159" t="s">
        <v>445</v>
      </c>
      <c r="G134" s="134">
        <v>2</v>
      </c>
      <c r="H134" s="134">
        <v>2020</v>
      </c>
      <c r="I134" s="135">
        <v>36</v>
      </c>
      <c r="J134" s="592">
        <f t="shared" si="16"/>
        <v>71.5</v>
      </c>
      <c r="K134" s="600">
        <f t="shared" si="13"/>
        <v>10.260000000000002</v>
      </c>
      <c r="L134" s="592"/>
      <c r="M134" s="592"/>
      <c r="N134" s="600">
        <f t="shared" si="14"/>
        <v>0</v>
      </c>
      <c r="O134" s="592"/>
      <c r="P134" s="592"/>
      <c r="Q134" s="600">
        <f t="shared" si="15"/>
        <v>0</v>
      </c>
    </row>
    <row r="135" spans="3:17" ht="17.25">
      <c r="C135" s="592">
        <v>50</v>
      </c>
      <c r="D135" s="152" t="s">
        <v>841</v>
      </c>
      <c r="E135" s="151"/>
      <c r="F135" s="152" t="s">
        <v>445</v>
      </c>
      <c r="G135" s="166">
        <v>2</v>
      </c>
      <c r="H135" s="166">
        <v>2023</v>
      </c>
      <c r="I135" s="135">
        <v>278</v>
      </c>
      <c r="J135" s="592">
        <f t="shared" si="16"/>
        <v>28.6</v>
      </c>
      <c r="K135" s="600">
        <f t="shared" si="13"/>
        <v>198.492</v>
      </c>
      <c r="L135" s="592"/>
      <c r="M135" s="592"/>
      <c r="N135" s="600">
        <f t="shared" si="14"/>
        <v>0</v>
      </c>
      <c r="O135" s="592"/>
      <c r="P135" s="592"/>
      <c r="Q135" s="600">
        <f t="shared" si="15"/>
        <v>0</v>
      </c>
    </row>
    <row r="136" spans="3:17" ht="17.25">
      <c r="C136" s="592">
        <v>51</v>
      </c>
      <c r="D136" s="616" t="s">
        <v>852</v>
      </c>
      <c r="E136" s="572"/>
      <c r="F136" s="592" t="s">
        <v>445</v>
      </c>
      <c r="G136" s="594"/>
      <c r="H136" s="592"/>
      <c r="I136" s="617"/>
      <c r="J136" s="592">
        <f t="shared" si="16"/>
        <v>100</v>
      </c>
      <c r="K136" s="600">
        <f t="shared" si="13"/>
        <v>0</v>
      </c>
      <c r="L136" s="592">
        <v>4</v>
      </c>
      <c r="M136" s="592">
        <v>100</v>
      </c>
      <c r="N136" s="600">
        <f t="shared" si="14"/>
        <v>400</v>
      </c>
      <c r="O136" s="592"/>
      <c r="P136" s="592"/>
      <c r="Q136" s="600">
        <f t="shared" si="15"/>
        <v>0</v>
      </c>
    </row>
    <row r="137" spans="3:17" ht="17.25">
      <c r="C137" s="592">
        <v>52</v>
      </c>
      <c r="D137" s="616" t="s">
        <v>443</v>
      </c>
      <c r="E137" s="572"/>
      <c r="F137" s="592" t="s">
        <v>445</v>
      </c>
      <c r="G137" s="594"/>
      <c r="H137" s="592"/>
      <c r="I137" s="617"/>
      <c r="J137" s="592">
        <f t="shared" si="16"/>
        <v>100</v>
      </c>
      <c r="K137" s="600">
        <f t="shared" si="13"/>
        <v>0</v>
      </c>
      <c r="L137" s="592">
        <v>4</v>
      </c>
      <c r="M137" s="592">
        <v>150</v>
      </c>
      <c r="N137" s="600">
        <f t="shared" si="14"/>
        <v>600</v>
      </c>
      <c r="O137" s="592"/>
      <c r="P137" s="592"/>
      <c r="Q137" s="600">
        <f t="shared" si="15"/>
        <v>0</v>
      </c>
    </row>
    <row r="138" spans="3:17" ht="17.25">
      <c r="C138" s="592">
        <v>53</v>
      </c>
      <c r="D138" s="618" t="s">
        <v>980</v>
      </c>
      <c r="E138" s="572"/>
      <c r="F138" s="592" t="s">
        <v>445</v>
      </c>
      <c r="G138" s="594"/>
      <c r="H138" s="592"/>
      <c r="I138" s="617"/>
      <c r="J138" s="592">
        <f t="shared" si="16"/>
        <v>100</v>
      </c>
      <c r="K138" s="600">
        <f t="shared" si="13"/>
        <v>0</v>
      </c>
      <c r="L138" s="592"/>
      <c r="M138" s="592"/>
      <c r="N138" s="600">
        <f t="shared" si="14"/>
        <v>0</v>
      </c>
      <c r="O138" s="592">
        <v>2</v>
      </c>
      <c r="P138" s="592">
        <v>370</v>
      </c>
      <c r="Q138" s="600">
        <f t="shared" si="15"/>
        <v>740</v>
      </c>
    </row>
    <row r="139" spans="3:17" ht="17.25">
      <c r="C139" s="592">
        <v>60</v>
      </c>
      <c r="D139" s="618"/>
      <c r="E139" s="602"/>
      <c r="F139" s="592" t="s">
        <v>445</v>
      </c>
      <c r="G139" s="594"/>
      <c r="H139" s="592"/>
      <c r="I139" s="617"/>
      <c r="J139" s="592">
        <f t="shared" si="16"/>
        <v>100</v>
      </c>
      <c r="K139" s="600">
        <f t="shared" si="13"/>
        <v>0</v>
      </c>
      <c r="L139" s="592"/>
      <c r="M139" s="592"/>
      <c r="N139" s="600">
        <f t="shared" si="14"/>
        <v>0</v>
      </c>
      <c r="O139" s="592"/>
      <c r="P139" s="592"/>
      <c r="Q139" s="600">
        <f t="shared" si="15"/>
        <v>0</v>
      </c>
    </row>
    <row r="140" spans="3:17" ht="17.25">
      <c r="C140" s="592">
        <v>61</v>
      </c>
      <c r="D140" s="616"/>
      <c r="E140" s="602"/>
      <c r="F140" s="592" t="s">
        <v>445</v>
      </c>
      <c r="G140" s="594"/>
      <c r="H140" s="592"/>
      <c r="I140" s="617"/>
      <c r="J140" s="592">
        <f t="shared" si="16"/>
        <v>100</v>
      </c>
      <c r="K140" s="600">
        <f t="shared" si="13"/>
        <v>0</v>
      </c>
      <c r="L140" s="592"/>
      <c r="M140" s="592"/>
      <c r="N140" s="600">
        <f t="shared" si="14"/>
        <v>0</v>
      </c>
      <c r="O140" s="592"/>
      <c r="P140" s="592"/>
      <c r="Q140" s="600">
        <f t="shared" si="15"/>
        <v>0</v>
      </c>
    </row>
    <row r="141" spans="3:17" ht="17.25">
      <c r="C141" s="592">
        <v>62</v>
      </c>
      <c r="D141" s="618"/>
      <c r="E141" s="602"/>
      <c r="F141" s="592" t="s">
        <v>445</v>
      </c>
      <c r="G141" s="594"/>
      <c r="H141" s="592"/>
      <c r="I141" s="603"/>
      <c r="J141" s="592">
        <f t="shared" si="16"/>
        <v>100</v>
      </c>
      <c r="K141" s="600">
        <f t="shared" si="13"/>
        <v>0</v>
      </c>
      <c r="L141" s="592"/>
      <c r="M141" s="592"/>
      <c r="N141" s="600">
        <f>+L141*M141</f>
        <v>0</v>
      </c>
      <c r="O141" s="592"/>
      <c r="P141" s="592"/>
      <c r="Q141" s="600">
        <f>+O141*P141</f>
        <v>0</v>
      </c>
    </row>
    <row r="142" spans="3:17" ht="17.25">
      <c r="C142" s="592">
        <v>63</v>
      </c>
      <c r="D142" s="618"/>
      <c r="E142" s="602"/>
      <c r="F142" s="592" t="s">
        <v>445</v>
      </c>
      <c r="G142" s="594"/>
      <c r="H142" s="592"/>
      <c r="I142" s="603"/>
      <c r="J142" s="592">
        <f t="shared" si="16"/>
        <v>100</v>
      </c>
      <c r="K142" s="600">
        <f t="shared" si="13"/>
        <v>0</v>
      </c>
      <c r="L142" s="592"/>
      <c r="M142" s="592"/>
      <c r="N142" s="600">
        <f>+L142*M142</f>
        <v>0</v>
      </c>
      <c r="O142" s="592"/>
      <c r="P142" s="592"/>
      <c r="Q142" s="600">
        <f>+O142*P142</f>
        <v>0</v>
      </c>
    </row>
    <row r="143" spans="3:17" ht="34.5">
      <c r="C143" s="561"/>
      <c r="D143" s="608" t="s">
        <v>1117</v>
      </c>
      <c r="E143" s="602"/>
      <c r="F143" s="602"/>
      <c r="G143" s="609">
        <f>SUMIF(J86:J142,"&lt;100",G86:G142)</f>
        <v>79</v>
      </c>
      <c r="H143" s="602"/>
      <c r="I143" s="610"/>
      <c r="K143" s="611"/>
      <c r="L143" s="602"/>
      <c r="M143" s="602"/>
      <c r="N143" s="567"/>
      <c r="O143" s="602"/>
      <c r="P143" s="602"/>
      <c r="Q143" s="567"/>
    </row>
    <row r="144" spans="1:17" ht="34.5">
      <c r="A144" s="614"/>
      <c r="B144" s="614"/>
      <c r="C144" s="596">
        <v>3</v>
      </c>
      <c r="D144" s="597" t="s">
        <v>269</v>
      </c>
      <c r="E144" s="596"/>
      <c r="F144" s="595"/>
      <c r="G144" s="598">
        <f>SUM(G145:G160)</f>
        <v>0</v>
      </c>
      <c r="H144" s="595"/>
      <c r="I144" s="599"/>
      <c r="J144" s="595"/>
      <c r="K144" s="599"/>
      <c r="L144" s="598">
        <f>SUM(L145:L160)</f>
        <v>0</v>
      </c>
      <c r="M144" s="595"/>
      <c r="N144" s="598">
        <f>SUM(N145:N160)</f>
        <v>0</v>
      </c>
      <c r="O144" s="598">
        <f>SUM(O145:O160)</f>
        <v>0</v>
      </c>
      <c r="P144" s="595"/>
      <c r="Q144" s="598">
        <f>SUM(Q145:Q160)</f>
        <v>0</v>
      </c>
    </row>
    <row r="145" spans="3:17" ht="17.25">
      <c r="C145" s="561">
        <v>1</v>
      </c>
      <c r="D145" s="616"/>
      <c r="E145" s="572"/>
      <c r="F145" s="592" t="s">
        <v>445</v>
      </c>
      <c r="G145" s="594"/>
      <c r="H145" s="592"/>
      <c r="I145" s="619"/>
      <c r="J145" s="600">
        <f aca="true" t="shared" si="17" ref="J145:J160">IF(($J$14-H145)*J$67&gt;100,100,($J$14-H145)*J$67)</f>
        <v>100</v>
      </c>
      <c r="K145" s="600">
        <f aca="true" t="shared" si="18" ref="K145:K160">IF(J145=100,0,I145-I145*J145%)</f>
        <v>0</v>
      </c>
      <c r="L145" s="592"/>
      <c r="M145" s="592"/>
      <c r="N145" s="600">
        <f aca="true" t="shared" si="19" ref="N145:N160">+L145*M145</f>
        <v>0</v>
      </c>
      <c r="O145" s="592"/>
      <c r="P145" s="592"/>
      <c r="Q145" s="600">
        <f aca="true" t="shared" si="20" ref="Q145:Q160">+O145*P145</f>
        <v>0</v>
      </c>
    </row>
    <row r="146" spans="3:17" ht="17.25">
      <c r="C146" s="561">
        <v>2</v>
      </c>
      <c r="D146" s="616"/>
      <c r="E146" s="572"/>
      <c r="F146" s="592" t="s">
        <v>445</v>
      </c>
      <c r="G146" s="594"/>
      <c r="H146" s="592"/>
      <c r="I146" s="600"/>
      <c r="J146" s="600">
        <f t="shared" si="17"/>
        <v>100</v>
      </c>
      <c r="K146" s="600">
        <f t="shared" si="18"/>
        <v>0</v>
      </c>
      <c r="L146" s="592"/>
      <c r="M146" s="592"/>
      <c r="N146" s="600">
        <f t="shared" si="19"/>
        <v>0</v>
      </c>
      <c r="O146" s="592"/>
      <c r="P146" s="592"/>
      <c r="Q146" s="600">
        <f t="shared" si="20"/>
        <v>0</v>
      </c>
    </row>
    <row r="147" spans="3:17" ht="17.25">
      <c r="C147" s="561">
        <v>3</v>
      </c>
      <c r="D147" s="616"/>
      <c r="E147" s="572"/>
      <c r="F147" s="592" t="s">
        <v>445</v>
      </c>
      <c r="G147" s="594"/>
      <c r="H147" s="592"/>
      <c r="I147" s="600"/>
      <c r="J147" s="600">
        <f t="shared" si="17"/>
        <v>100</v>
      </c>
      <c r="K147" s="600">
        <f t="shared" si="18"/>
        <v>0</v>
      </c>
      <c r="L147" s="592"/>
      <c r="M147" s="592"/>
      <c r="N147" s="600">
        <f t="shared" si="19"/>
        <v>0</v>
      </c>
      <c r="O147" s="592"/>
      <c r="P147" s="592"/>
      <c r="Q147" s="600">
        <f t="shared" si="20"/>
        <v>0</v>
      </c>
    </row>
    <row r="148" spans="3:17" ht="17.25">
      <c r="C148" s="561">
        <v>4</v>
      </c>
      <c r="D148" s="616"/>
      <c r="E148" s="572"/>
      <c r="F148" s="592" t="s">
        <v>445</v>
      </c>
      <c r="G148" s="594"/>
      <c r="H148" s="592"/>
      <c r="I148" s="600"/>
      <c r="J148" s="600">
        <f t="shared" si="17"/>
        <v>100</v>
      </c>
      <c r="K148" s="600">
        <f t="shared" si="18"/>
        <v>0</v>
      </c>
      <c r="L148" s="592"/>
      <c r="M148" s="592"/>
      <c r="N148" s="600">
        <f t="shared" si="19"/>
        <v>0</v>
      </c>
      <c r="O148" s="592"/>
      <c r="P148" s="592"/>
      <c r="Q148" s="600">
        <f t="shared" si="20"/>
        <v>0</v>
      </c>
    </row>
    <row r="149" spans="3:17" ht="17.25">
      <c r="C149" s="561">
        <v>5</v>
      </c>
      <c r="D149" s="618"/>
      <c r="E149" s="572"/>
      <c r="F149" s="592" t="s">
        <v>445</v>
      </c>
      <c r="G149" s="594"/>
      <c r="H149" s="592"/>
      <c r="I149" s="603"/>
      <c r="J149" s="600">
        <f t="shared" si="17"/>
        <v>100</v>
      </c>
      <c r="K149" s="600">
        <f t="shared" si="18"/>
        <v>0</v>
      </c>
      <c r="L149" s="592"/>
      <c r="M149" s="592"/>
      <c r="N149" s="600">
        <f t="shared" si="19"/>
        <v>0</v>
      </c>
      <c r="O149" s="592"/>
      <c r="P149" s="592"/>
      <c r="Q149" s="600">
        <f t="shared" si="20"/>
        <v>0</v>
      </c>
    </row>
    <row r="150" spans="3:17" ht="17.25">
      <c r="C150" s="561">
        <v>6</v>
      </c>
      <c r="D150" s="616"/>
      <c r="E150" s="572"/>
      <c r="F150" s="592" t="s">
        <v>445</v>
      </c>
      <c r="G150" s="594"/>
      <c r="H150" s="592"/>
      <c r="I150" s="603"/>
      <c r="J150" s="600">
        <f t="shared" si="17"/>
        <v>100</v>
      </c>
      <c r="K150" s="600">
        <f t="shared" si="18"/>
        <v>0</v>
      </c>
      <c r="L150" s="606"/>
      <c r="M150" s="606"/>
      <c r="N150" s="600">
        <f t="shared" si="19"/>
        <v>0</v>
      </c>
      <c r="O150" s="606"/>
      <c r="P150" s="606"/>
      <c r="Q150" s="600">
        <f t="shared" si="20"/>
        <v>0</v>
      </c>
    </row>
    <row r="151" spans="3:17" ht="17.25">
      <c r="C151" s="561">
        <v>7</v>
      </c>
      <c r="D151" s="616"/>
      <c r="E151" s="572"/>
      <c r="F151" s="592" t="s">
        <v>445</v>
      </c>
      <c r="G151" s="594"/>
      <c r="H151" s="592"/>
      <c r="I151" s="603"/>
      <c r="J151" s="600">
        <f t="shared" si="17"/>
        <v>100</v>
      </c>
      <c r="K151" s="600">
        <f t="shared" si="18"/>
        <v>0</v>
      </c>
      <c r="L151" s="592"/>
      <c r="M151" s="592"/>
      <c r="N151" s="600">
        <f t="shared" si="19"/>
        <v>0</v>
      </c>
      <c r="O151" s="592"/>
      <c r="P151" s="592"/>
      <c r="Q151" s="600">
        <f t="shared" si="20"/>
        <v>0</v>
      </c>
    </row>
    <row r="152" spans="3:17" ht="17.25">
      <c r="C152" s="561">
        <v>8</v>
      </c>
      <c r="D152" s="616"/>
      <c r="E152" s="572"/>
      <c r="F152" s="592" t="s">
        <v>445</v>
      </c>
      <c r="G152" s="594"/>
      <c r="H152" s="592"/>
      <c r="I152" s="603"/>
      <c r="J152" s="600">
        <f t="shared" si="17"/>
        <v>100</v>
      </c>
      <c r="K152" s="600">
        <f t="shared" si="18"/>
        <v>0</v>
      </c>
      <c r="L152" s="592"/>
      <c r="M152" s="592"/>
      <c r="N152" s="600">
        <f t="shared" si="19"/>
        <v>0</v>
      </c>
      <c r="O152" s="592"/>
      <c r="P152" s="592"/>
      <c r="Q152" s="600">
        <f t="shared" si="20"/>
        <v>0</v>
      </c>
    </row>
    <row r="153" spans="3:17" ht="17.25">
      <c r="C153" s="561">
        <v>9</v>
      </c>
      <c r="D153" s="616"/>
      <c r="E153" s="572"/>
      <c r="F153" s="592" t="s">
        <v>445</v>
      </c>
      <c r="G153" s="594"/>
      <c r="H153" s="592"/>
      <c r="I153" s="603"/>
      <c r="J153" s="600">
        <f t="shared" si="17"/>
        <v>100</v>
      </c>
      <c r="K153" s="600">
        <f t="shared" si="18"/>
        <v>0</v>
      </c>
      <c r="L153" s="592"/>
      <c r="M153" s="592"/>
      <c r="N153" s="600">
        <f t="shared" si="19"/>
        <v>0</v>
      </c>
      <c r="O153" s="592"/>
      <c r="P153" s="592"/>
      <c r="Q153" s="600">
        <f t="shared" si="20"/>
        <v>0</v>
      </c>
    </row>
    <row r="154" spans="3:17" ht="17.25">
      <c r="C154" s="561">
        <v>10</v>
      </c>
      <c r="D154" s="616"/>
      <c r="E154" s="572"/>
      <c r="F154" s="592" t="s">
        <v>445</v>
      </c>
      <c r="G154" s="594"/>
      <c r="H154" s="592"/>
      <c r="I154" s="603"/>
      <c r="J154" s="600">
        <f t="shared" si="17"/>
        <v>100</v>
      </c>
      <c r="K154" s="600">
        <f t="shared" si="18"/>
        <v>0</v>
      </c>
      <c r="L154" s="592"/>
      <c r="M154" s="592"/>
      <c r="N154" s="600">
        <f t="shared" si="19"/>
        <v>0</v>
      </c>
      <c r="O154" s="592"/>
      <c r="P154" s="592"/>
      <c r="Q154" s="600">
        <f t="shared" si="20"/>
        <v>0</v>
      </c>
    </row>
    <row r="155" spans="3:17" ht="17.25">
      <c r="C155" s="561">
        <v>11</v>
      </c>
      <c r="D155" s="616"/>
      <c r="E155" s="572"/>
      <c r="F155" s="592" t="s">
        <v>445</v>
      </c>
      <c r="G155" s="594"/>
      <c r="H155" s="592"/>
      <c r="I155" s="603"/>
      <c r="J155" s="600">
        <f t="shared" si="17"/>
        <v>100</v>
      </c>
      <c r="K155" s="600">
        <f t="shared" si="18"/>
        <v>0</v>
      </c>
      <c r="L155" s="592"/>
      <c r="M155" s="592"/>
      <c r="N155" s="600">
        <f t="shared" si="19"/>
        <v>0</v>
      </c>
      <c r="O155" s="592"/>
      <c r="P155" s="592"/>
      <c r="Q155" s="600">
        <f t="shared" si="20"/>
        <v>0</v>
      </c>
    </row>
    <row r="156" spans="3:17" ht="17.25">
      <c r="C156" s="561">
        <v>12</v>
      </c>
      <c r="D156" s="616"/>
      <c r="E156" s="572"/>
      <c r="F156" s="592" t="s">
        <v>445</v>
      </c>
      <c r="G156" s="594"/>
      <c r="H156" s="592"/>
      <c r="I156" s="603"/>
      <c r="J156" s="600">
        <f t="shared" si="17"/>
        <v>100</v>
      </c>
      <c r="K156" s="600">
        <f t="shared" si="18"/>
        <v>0</v>
      </c>
      <c r="L156" s="592"/>
      <c r="M156" s="592"/>
      <c r="N156" s="600">
        <f t="shared" si="19"/>
        <v>0</v>
      </c>
      <c r="O156" s="592"/>
      <c r="P156" s="592"/>
      <c r="Q156" s="600">
        <f t="shared" si="20"/>
        <v>0</v>
      </c>
    </row>
    <row r="157" spans="3:17" ht="17.25">
      <c r="C157" s="561">
        <v>13</v>
      </c>
      <c r="D157" s="616"/>
      <c r="E157" s="572"/>
      <c r="F157" s="592" t="s">
        <v>445</v>
      </c>
      <c r="G157" s="594"/>
      <c r="H157" s="592"/>
      <c r="I157" s="603"/>
      <c r="J157" s="600">
        <f t="shared" si="17"/>
        <v>100</v>
      </c>
      <c r="K157" s="600">
        <f t="shared" si="18"/>
        <v>0</v>
      </c>
      <c r="L157" s="592"/>
      <c r="M157" s="592"/>
      <c r="N157" s="600">
        <f t="shared" si="19"/>
        <v>0</v>
      </c>
      <c r="O157" s="592"/>
      <c r="P157" s="592"/>
      <c r="Q157" s="600">
        <f t="shared" si="20"/>
        <v>0</v>
      </c>
    </row>
    <row r="158" spans="3:17" ht="17.25">
      <c r="C158" s="561">
        <v>14</v>
      </c>
      <c r="D158" s="616"/>
      <c r="E158" s="572"/>
      <c r="F158" s="592" t="s">
        <v>445</v>
      </c>
      <c r="G158" s="594"/>
      <c r="H158" s="592"/>
      <c r="I158" s="603"/>
      <c r="J158" s="600">
        <f t="shared" si="17"/>
        <v>100</v>
      </c>
      <c r="K158" s="600">
        <f t="shared" si="18"/>
        <v>0</v>
      </c>
      <c r="L158" s="592"/>
      <c r="M158" s="592"/>
      <c r="N158" s="600">
        <f t="shared" si="19"/>
        <v>0</v>
      </c>
      <c r="O158" s="592"/>
      <c r="P158" s="592"/>
      <c r="Q158" s="600">
        <f t="shared" si="20"/>
        <v>0</v>
      </c>
    </row>
    <row r="159" spans="3:17" ht="17.25">
      <c r="C159" s="561">
        <v>15</v>
      </c>
      <c r="D159" s="616"/>
      <c r="E159" s="572"/>
      <c r="F159" s="592" t="s">
        <v>445</v>
      </c>
      <c r="G159" s="594"/>
      <c r="H159" s="592"/>
      <c r="I159" s="603"/>
      <c r="J159" s="600">
        <f t="shared" si="17"/>
        <v>100</v>
      </c>
      <c r="K159" s="600">
        <f t="shared" si="18"/>
        <v>0</v>
      </c>
      <c r="L159" s="592"/>
      <c r="M159" s="592"/>
      <c r="N159" s="600">
        <f t="shared" si="19"/>
        <v>0</v>
      </c>
      <c r="O159" s="592"/>
      <c r="P159" s="592"/>
      <c r="Q159" s="600">
        <f t="shared" si="20"/>
        <v>0</v>
      </c>
    </row>
    <row r="160" spans="3:17" ht="17.25">
      <c r="C160" s="561">
        <v>16</v>
      </c>
      <c r="D160" s="616"/>
      <c r="E160" s="602"/>
      <c r="F160" s="592" t="s">
        <v>445</v>
      </c>
      <c r="G160" s="594"/>
      <c r="H160" s="592"/>
      <c r="I160" s="603"/>
      <c r="J160" s="600">
        <f t="shared" si="17"/>
        <v>100</v>
      </c>
      <c r="K160" s="600">
        <f t="shared" si="18"/>
        <v>0</v>
      </c>
      <c r="L160" s="592"/>
      <c r="M160" s="592"/>
      <c r="N160" s="600">
        <f t="shared" si="19"/>
        <v>0</v>
      </c>
      <c r="O160" s="592"/>
      <c r="P160" s="592"/>
      <c r="Q160" s="600">
        <f t="shared" si="20"/>
        <v>0</v>
      </c>
    </row>
    <row r="161" spans="3:17" ht="34.5">
      <c r="C161" s="561"/>
      <c r="D161" s="608" t="s">
        <v>1117</v>
      </c>
      <c r="E161" s="602"/>
      <c r="F161" s="602"/>
      <c r="G161" s="609">
        <f>SUMIF(J145:J160,"&lt;100",G145:G160)</f>
        <v>0</v>
      </c>
      <c r="H161" s="602"/>
      <c r="I161" s="610"/>
      <c r="K161" s="611"/>
      <c r="L161" s="602"/>
      <c r="M161" s="602"/>
      <c r="N161" s="567"/>
      <c r="O161" s="602"/>
      <c r="P161" s="602"/>
      <c r="Q161" s="567"/>
    </row>
    <row r="162" spans="1:17" ht="17.25">
      <c r="A162" s="620"/>
      <c r="B162" s="620"/>
      <c r="C162" s="589">
        <v>619</v>
      </c>
      <c r="D162" s="590" t="s">
        <v>278</v>
      </c>
      <c r="E162" s="591">
        <v>8</v>
      </c>
      <c r="F162" s="592"/>
      <c r="G162" s="598">
        <f>SUM(G163:G172)</f>
        <v>12</v>
      </c>
      <c r="H162" s="592"/>
      <c r="I162" s="621"/>
      <c r="J162" s="591">
        <v>12.5</v>
      </c>
      <c r="K162" s="594"/>
      <c r="L162" s="598">
        <f>SUM(L163:L172)</f>
        <v>0</v>
      </c>
      <c r="M162" s="592"/>
      <c r="N162" s="598">
        <f>SUM(N163:N172)</f>
        <v>0</v>
      </c>
      <c r="O162" s="598">
        <f>SUM(O163:O172)</f>
        <v>0</v>
      </c>
      <c r="P162" s="592"/>
      <c r="Q162" s="598">
        <f>SUM(Q163:Q172)</f>
        <v>0</v>
      </c>
    </row>
    <row r="163" spans="3:17" ht="17.25">
      <c r="C163" s="561">
        <v>1</v>
      </c>
      <c r="D163" s="137" t="s">
        <v>523</v>
      </c>
      <c r="E163" s="151"/>
      <c r="F163" s="155" t="s">
        <v>445</v>
      </c>
      <c r="G163" s="154">
        <v>1</v>
      </c>
      <c r="H163" s="110">
        <v>2013</v>
      </c>
      <c r="I163" s="135">
        <v>4.24374</v>
      </c>
      <c r="J163" s="592">
        <f aca="true" t="shared" si="21" ref="J163:J172">IF(($J$14-H163)*J$162&gt;100,100,($J$14-H163)*J$162)</f>
        <v>100</v>
      </c>
      <c r="K163" s="600">
        <f aca="true" t="shared" si="22" ref="K163:K172">IF(J163=100,0,I163-I163*J163%)</f>
        <v>0</v>
      </c>
      <c r="L163" s="592"/>
      <c r="M163" s="592"/>
      <c r="N163" s="600">
        <f aca="true" t="shared" si="23" ref="N163:N172">+L163*M163</f>
        <v>0</v>
      </c>
      <c r="O163" s="592"/>
      <c r="P163" s="592"/>
      <c r="Q163" s="600">
        <f aca="true" t="shared" si="24" ref="Q163:Q172">+O163*P163</f>
        <v>0</v>
      </c>
    </row>
    <row r="164" spans="3:17" ht="17.25">
      <c r="C164" s="561">
        <v>2</v>
      </c>
      <c r="D164" s="137" t="s">
        <v>524</v>
      </c>
      <c r="E164" s="151"/>
      <c r="F164" s="155" t="s">
        <v>445</v>
      </c>
      <c r="G164" s="154">
        <v>2</v>
      </c>
      <c r="H164" s="154">
        <v>2008</v>
      </c>
      <c r="I164" s="135">
        <v>300</v>
      </c>
      <c r="J164" s="592">
        <f t="shared" si="21"/>
        <v>100</v>
      </c>
      <c r="K164" s="600">
        <f t="shared" si="22"/>
        <v>0</v>
      </c>
      <c r="L164" s="592"/>
      <c r="M164" s="592"/>
      <c r="N164" s="600">
        <f t="shared" si="23"/>
        <v>0</v>
      </c>
      <c r="O164" s="592"/>
      <c r="P164" s="592"/>
      <c r="Q164" s="600">
        <f t="shared" si="24"/>
        <v>0</v>
      </c>
    </row>
    <row r="165" spans="3:17" ht="17.25">
      <c r="C165" s="561">
        <v>3</v>
      </c>
      <c r="D165" s="137" t="s">
        <v>525</v>
      </c>
      <c r="E165" s="151"/>
      <c r="F165" s="155" t="s">
        <v>445</v>
      </c>
      <c r="G165" s="154">
        <v>3</v>
      </c>
      <c r="H165" s="154">
        <v>2020</v>
      </c>
      <c r="I165" s="135">
        <v>867</v>
      </c>
      <c r="J165" s="592">
        <f t="shared" si="21"/>
        <v>62.5</v>
      </c>
      <c r="K165" s="600">
        <f t="shared" si="22"/>
        <v>325.125</v>
      </c>
      <c r="L165" s="592"/>
      <c r="M165" s="592"/>
      <c r="N165" s="600">
        <f t="shared" si="23"/>
        <v>0</v>
      </c>
      <c r="O165" s="592"/>
      <c r="P165" s="592"/>
      <c r="Q165" s="600">
        <f t="shared" si="24"/>
        <v>0</v>
      </c>
    </row>
    <row r="166" spans="3:17" ht="30">
      <c r="C166" s="561">
        <v>4</v>
      </c>
      <c r="D166" s="137" t="s">
        <v>526</v>
      </c>
      <c r="E166" s="151"/>
      <c r="F166" s="152" t="s">
        <v>445</v>
      </c>
      <c r="G166" s="154">
        <v>2</v>
      </c>
      <c r="H166" s="154">
        <v>2020</v>
      </c>
      <c r="I166" s="135">
        <v>2970</v>
      </c>
      <c r="J166" s="592">
        <f t="shared" si="21"/>
        <v>62.5</v>
      </c>
      <c r="K166" s="600">
        <f t="shared" si="22"/>
        <v>1113.75</v>
      </c>
      <c r="L166" s="592"/>
      <c r="M166" s="592"/>
      <c r="N166" s="600">
        <f t="shared" si="23"/>
        <v>0</v>
      </c>
      <c r="O166" s="592"/>
      <c r="P166" s="592"/>
      <c r="Q166" s="600">
        <f t="shared" si="24"/>
        <v>0</v>
      </c>
    </row>
    <row r="167" spans="3:17" ht="17.25">
      <c r="C167" s="561">
        <v>5</v>
      </c>
      <c r="D167" s="137" t="s">
        <v>527</v>
      </c>
      <c r="E167" s="151"/>
      <c r="F167" s="152" t="s">
        <v>445</v>
      </c>
      <c r="G167" s="154">
        <v>1</v>
      </c>
      <c r="H167" s="154">
        <v>2013</v>
      </c>
      <c r="I167" s="135">
        <v>1663.33376</v>
      </c>
      <c r="J167" s="592">
        <f t="shared" si="21"/>
        <v>100</v>
      </c>
      <c r="K167" s="600">
        <f t="shared" si="22"/>
        <v>0</v>
      </c>
      <c r="L167" s="592"/>
      <c r="M167" s="592"/>
      <c r="N167" s="600">
        <f t="shared" si="23"/>
        <v>0</v>
      </c>
      <c r="O167" s="592"/>
      <c r="P167" s="592"/>
      <c r="Q167" s="600">
        <f t="shared" si="24"/>
        <v>0</v>
      </c>
    </row>
    <row r="168" spans="3:17" ht="30">
      <c r="C168" s="561">
        <v>6</v>
      </c>
      <c r="D168" s="137" t="s">
        <v>528</v>
      </c>
      <c r="E168" s="151"/>
      <c r="F168" s="152" t="s">
        <v>445</v>
      </c>
      <c r="G168" s="154">
        <v>1</v>
      </c>
      <c r="H168" s="154">
        <v>2008</v>
      </c>
      <c r="I168" s="135">
        <v>1800</v>
      </c>
      <c r="J168" s="592">
        <f t="shared" si="21"/>
        <v>100</v>
      </c>
      <c r="K168" s="600">
        <f t="shared" si="22"/>
        <v>0</v>
      </c>
      <c r="L168" s="592"/>
      <c r="M168" s="592"/>
      <c r="N168" s="600">
        <f t="shared" si="23"/>
        <v>0</v>
      </c>
      <c r="O168" s="592"/>
      <c r="P168" s="592"/>
      <c r="Q168" s="600">
        <f t="shared" si="24"/>
        <v>0</v>
      </c>
    </row>
    <row r="169" spans="3:17" ht="30">
      <c r="C169" s="561">
        <v>7</v>
      </c>
      <c r="D169" s="137" t="s">
        <v>529</v>
      </c>
      <c r="E169" s="151"/>
      <c r="F169" s="152" t="s">
        <v>445</v>
      </c>
      <c r="G169" s="154">
        <v>1</v>
      </c>
      <c r="H169" s="154">
        <v>2020</v>
      </c>
      <c r="I169" s="135">
        <v>2160</v>
      </c>
      <c r="J169" s="592">
        <f t="shared" si="21"/>
        <v>62.5</v>
      </c>
      <c r="K169" s="600">
        <f t="shared" si="22"/>
        <v>810</v>
      </c>
      <c r="L169" s="592"/>
      <c r="M169" s="592"/>
      <c r="N169" s="600">
        <f t="shared" si="23"/>
        <v>0</v>
      </c>
      <c r="O169" s="592"/>
      <c r="P169" s="592"/>
      <c r="Q169" s="600">
        <f t="shared" si="24"/>
        <v>0</v>
      </c>
    </row>
    <row r="170" spans="3:17" ht="17.25">
      <c r="C170" s="561">
        <v>8</v>
      </c>
      <c r="D170" s="137" t="s">
        <v>530</v>
      </c>
      <c r="E170" s="151"/>
      <c r="F170" s="152" t="s">
        <v>445</v>
      </c>
      <c r="G170" s="154">
        <v>1</v>
      </c>
      <c r="H170" s="154">
        <v>2013</v>
      </c>
      <c r="I170" s="135">
        <v>25157.79441</v>
      </c>
      <c r="J170" s="592">
        <f t="shared" si="21"/>
        <v>100</v>
      </c>
      <c r="K170" s="600">
        <f t="shared" si="22"/>
        <v>0</v>
      </c>
      <c r="L170" s="592"/>
      <c r="M170" s="592"/>
      <c r="N170" s="600">
        <f t="shared" si="23"/>
        <v>0</v>
      </c>
      <c r="O170" s="592"/>
      <c r="P170" s="592"/>
      <c r="Q170" s="600">
        <f t="shared" si="24"/>
        <v>0</v>
      </c>
    </row>
    <row r="171" spans="3:17" ht="17.25">
      <c r="C171" s="561"/>
      <c r="D171" s="616"/>
      <c r="E171" s="602"/>
      <c r="F171" s="592" t="s">
        <v>445</v>
      </c>
      <c r="G171" s="594"/>
      <c r="H171" s="592"/>
      <c r="I171" s="603"/>
      <c r="J171" s="592">
        <f t="shared" si="21"/>
        <v>100</v>
      </c>
      <c r="K171" s="600">
        <f t="shared" si="22"/>
        <v>0</v>
      </c>
      <c r="L171" s="592"/>
      <c r="M171" s="592"/>
      <c r="N171" s="600">
        <f t="shared" si="23"/>
        <v>0</v>
      </c>
      <c r="O171" s="592"/>
      <c r="P171" s="592"/>
      <c r="Q171" s="600">
        <f t="shared" si="24"/>
        <v>0</v>
      </c>
    </row>
    <row r="172" spans="3:17" ht="17.25">
      <c r="C172" s="561"/>
      <c r="D172" s="616"/>
      <c r="E172" s="602"/>
      <c r="F172" s="592" t="s">
        <v>445</v>
      </c>
      <c r="G172" s="594"/>
      <c r="H172" s="592"/>
      <c r="I172" s="603"/>
      <c r="J172" s="592">
        <f t="shared" si="21"/>
        <v>100</v>
      </c>
      <c r="K172" s="600">
        <f t="shared" si="22"/>
        <v>0</v>
      </c>
      <c r="L172" s="592"/>
      <c r="M172" s="592"/>
      <c r="N172" s="600">
        <f t="shared" si="23"/>
        <v>0</v>
      </c>
      <c r="O172" s="592"/>
      <c r="P172" s="592"/>
      <c r="Q172" s="600">
        <f t="shared" si="24"/>
        <v>0</v>
      </c>
    </row>
    <row r="173" spans="3:17" ht="34.5">
      <c r="C173" s="561"/>
      <c r="D173" s="608" t="s">
        <v>1117</v>
      </c>
      <c r="E173" s="602"/>
      <c r="F173" s="602"/>
      <c r="G173" s="609">
        <f>SUMIF(J163:J172,"&lt;100",G163:G172)</f>
        <v>6</v>
      </c>
      <c r="H173" s="602"/>
      <c r="I173" s="610"/>
      <c r="K173" s="611"/>
      <c r="L173" s="602"/>
      <c r="M173" s="602"/>
      <c r="N173" s="567"/>
      <c r="O173" s="602"/>
      <c r="P173" s="602"/>
      <c r="Q173" s="567"/>
    </row>
    <row r="174" spans="1:17" ht="17.25">
      <c r="A174" s="620"/>
      <c r="B174" s="581">
        <v>62</v>
      </c>
      <c r="C174" s="622"/>
      <c r="D174" s="623" t="s">
        <v>281</v>
      </c>
      <c r="E174" s="584"/>
      <c r="F174" s="624"/>
      <c r="G174" s="625">
        <f>+G175+G286+G298+G355</f>
        <v>714</v>
      </c>
      <c r="H174" s="624"/>
      <c r="I174" s="626"/>
      <c r="J174" s="624"/>
      <c r="K174" s="627"/>
      <c r="L174" s="625">
        <f>+L175+L286+L298+L355</f>
        <v>28</v>
      </c>
      <c r="M174" s="624"/>
      <c r="N174" s="625">
        <f>+N175+N286+N298+N355</f>
        <v>1045</v>
      </c>
      <c r="O174" s="625">
        <f>+O175+O286+O298+O355</f>
        <v>6</v>
      </c>
      <c r="P174" s="624"/>
      <c r="Q174" s="625">
        <f>+Q175+Q286+Q298+Q355</f>
        <v>1375</v>
      </c>
    </row>
    <row r="175" spans="1:17" ht="86.25">
      <c r="A175" s="620"/>
      <c r="B175" s="620"/>
      <c r="C175" s="589">
        <v>620</v>
      </c>
      <c r="D175" s="590" t="s">
        <v>283</v>
      </c>
      <c r="E175" s="591">
        <v>10</v>
      </c>
      <c r="F175" s="592"/>
      <c r="G175" s="598">
        <f>SUM(G176:G281)</f>
        <v>511</v>
      </c>
      <c r="H175" s="592"/>
      <c r="I175" s="621"/>
      <c r="J175" s="591">
        <v>10</v>
      </c>
      <c r="K175" s="594"/>
      <c r="L175" s="598">
        <f>SUM(L176:L281)</f>
        <v>27</v>
      </c>
      <c r="M175" s="592"/>
      <c r="N175" s="598">
        <f>SUM(N176:N281)</f>
        <v>795</v>
      </c>
      <c r="O175" s="598">
        <f>SUM(O176:O284)</f>
        <v>6</v>
      </c>
      <c r="P175" s="592"/>
      <c r="Q175" s="598">
        <f>SUM(Q179:Q285)</f>
        <v>1375</v>
      </c>
    </row>
    <row r="176" spans="3:17" ht="17.25">
      <c r="C176" s="561">
        <v>1</v>
      </c>
      <c r="D176" s="161" t="s">
        <v>531</v>
      </c>
      <c r="E176" s="151"/>
      <c r="F176" s="152" t="s">
        <v>445</v>
      </c>
      <c r="G176" s="154">
        <v>7</v>
      </c>
      <c r="H176" s="161">
        <v>2007</v>
      </c>
      <c r="I176" s="135">
        <v>1.89</v>
      </c>
      <c r="J176" s="592">
        <f aca="true" t="shared" si="25" ref="J176:J207">IF(($J$14-H176)*J$175&gt;100,100,($J$14-H176)*J$175)</f>
        <v>100</v>
      </c>
      <c r="K176" s="600">
        <v>0</v>
      </c>
      <c r="L176" s="592"/>
      <c r="M176" s="592"/>
      <c r="N176" s="600">
        <v>0</v>
      </c>
      <c r="O176" s="592"/>
      <c r="P176" s="592"/>
      <c r="Q176" s="600">
        <f>+O176*P176</f>
        <v>0</v>
      </c>
    </row>
    <row r="177" spans="3:17" ht="17.25">
      <c r="C177" s="561">
        <v>2</v>
      </c>
      <c r="D177" s="161" t="s">
        <v>532</v>
      </c>
      <c r="E177" s="151"/>
      <c r="F177" s="152" t="s">
        <v>445</v>
      </c>
      <c r="G177" s="154">
        <v>7</v>
      </c>
      <c r="H177" s="161">
        <v>2008</v>
      </c>
      <c r="I177" s="135">
        <v>3.33424</v>
      </c>
      <c r="J177" s="592">
        <f t="shared" si="25"/>
        <v>100</v>
      </c>
      <c r="K177" s="600">
        <f aca="true" t="shared" si="26" ref="K177:K277">IF(J177=100,0,I177-I177*J177%)</f>
        <v>0</v>
      </c>
      <c r="L177" s="592"/>
      <c r="M177" s="592"/>
      <c r="N177" s="600">
        <f aca="true" t="shared" si="27" ref="N177:N275">+L177*M177</f>
        <v>0</v>
      </c>
      <c r="O177" s="607"/>
      <c r="P177" s="605"/>
      <c r="Q177" s="600">
        <f>+O177*P177</f>
        <v>0</v>
      </c>
    </row>
    <row r="178" spans="3:17" ht="17.25">
      <c r="C178" s="561">
        <v>3</v>
      </c>
      <c r="D178" s="161" t="s">
        <v>533</v>
      </c>
      <c r="E178" s="151"/>
      <c r="F178" s="152" t="s">
        <v>445</v>
      </c>
      <c r="G178" s="154">
        <v>10</v>
      </c>
      <c r="H178" s="161">
        <v>2007</v>
      </c>
      <c r="I178" s="135">
        <v>5.59</v>
      </c>
      <c r="J178" s="592">
        <f t="shared" si="25"/>
        <v>100</v>
      </c>
      <c r="K178" s="600">
        <f t="shared" si="26"/>
        <v>0</v>
      </c>
      <c r="L178" s="592"/>
      <c r="M178" s="592"/>
      <c r="N178" s="600">
        <f t="shared" si="27"/>
        <v>0</v>
      </c>
      <c r="O178" s="592"/>
      <c r="P178" s="592"/>
      <c r="Q178" s="600">
        <f>+O178*P178</f>
        <v>0</v>
      </c>
    </row>
    <row r="179" spans="3:17" ht="17.25">
      <c r="C179" s="561">
        <v>4</v>
      </c>
      <c r="D179" s="161" t="s">
        <v>534</v>
      </c>
      <c r="E179" s="151"/>
      <c r="F179" s="152" t="s">
        <v>445</v>
      </c>
      <c r="G179" s="154">
        <v>15</v>
      </c>
      <c r="H179" s="161">
        <v>2008</v>
      </c>
      <c r="I179" s="135">
        <v>12.6</v>
      </c>
      <c r="J179" s="592">
        <f t="shared" si="25"/>
        <v>100</v>
      </c>
      <c r="K179" s="600">
        <f t="shared" si="26"/>
        <v>0</v>
      </c>
      <c r="L179" s="592"/>
      <c r="M179" s="592"/>
      <c r="N179" s="600">
        <f t="shared" si="27"/>
        <v>0</v>
      </c>
      <c r="O179" s="592"/>
      <c r="P179" s="592"/>
      <c r="Q179" s="600">
        <f aca="true" t="shared" si="28" ref="Q179:Q242">+O179*P179</f>
        <v>0</v>
      </c>
    </row>
    <row r="180" spans="3:17" ht="17.25">
      <c r="C180" s="561">
        <v>5</v>
      </c>
      <c r="D180" s="161" t="s">
        <v>535</v>
      </c>
      <c r="E180" s="151"/>
      <c r="F180" s="152" t="s">
        <v>445</v>
      </c>
      <c r="G180" s="154">
        <v>4</v>
      </c>
      <c r="H180" s="161">
        <v>2008</v>
      </c>
      <c r="I180" s="135">
        <v>4</v>
      </c>
      <c r="J180" s="592">
        <f t="shared" si="25"/>
        <v>100</v>
      </c>
      <c r="K180" s="600">
        <f t="shared" si="26"/>
        <v>0</v>
      </c>
      <c r="L180" s="592"/>
      <c r="M180" s="592"/>
      <c r="N180" s="600">
        <f t="shared" si="27"/>
        <v>0</v>
      </c>
      <c r="O180" s="592"/>
      <c r="P180" s="592"/>
      <c r="Q180" s="600">
        <f t="shared" si="28"/>
        <v>0</v>
      </c>
    </row>
    <row r="181" spans="3:17" ht="17.25">
      <c r="C181" s="561">
        <v>6</v>
      </c>
      <c r="D181" s="161" t="s">
        <v>536</v>
      </c>
      <c r="E181" s="151"/>
      <c r="F181" s="152" t="s">
        <v>445</v>
      </c>
      <c r="G181" s="154">
        <v>3</v>
      </c>
      <c r="H181" s="161">
        <v>2001</v>
      </c>
      <c r="I181" s="135">
        <v>3</v>
      </c>
      <c r="J181" s="592">
        <f t="shared" si="25"/>
        <v>100</v>
      </c>
      <c r="K181" s="600">
        <f t="shared" si="26"/>
        <v>0</v>
      </c>
      <c r="L181" s="592"/>
      <c r="M181" s="592"/>
      <c r="N181" s="600">
        <f t="shared" si="27"/>
        <v>0</v>
      </c>
      <c r="O181" s="592"/>
      <c r="P181" s="592"/>
      <c r="Q181" s="600">
        <f t="shared" si="28"/>
        <v>0</v>
      </c>
    </row>
    <row r="182" spans="3:17" ht="17.25">
      <c r="C182" s="561">
        <v>7</v>
      </c>
      <c r="D182" s="161" t="s">
        <v>537</v>
      </c>
      <c r="E182" s="151"/>
      <c r="F182" s="152" t="s">
        <v>445</v>
      </c>
      <c r="G182" s="154">
        <v>10</v>
      </c>
      <c r="H182" s="161">
        <v>2008</v>
      </c>
      <c r="I182" s="135">
        <v>11.52</v>
      </c>
      <c r="J182" s="592">
        <f t="shared" si="25"/>
        <v>100</v>
      </c>
      <c r="K182" s="600">
        <f t="shared" si="26"/>
        <v>0</v>
      </c>
      <c r="L182" s="592"/>
      <c r="M182" s="592"/>
      <c r="N182" s="600">
        <f t="shared" si="27"/>
        <v>0</v>
      </c>
      <c r="O182" s="592"/>
      <c r="P182" s="592"/>
      <c r="Q182" s="600">
        <f t="shared" si="28"/>
        <v>0</v>
      </c>
    </row>
    <row r="183" spans="3:17" ht="17.25">
      <c r="C183" s="561">
        <v>8</v>
      </c>
      <c r="D183" s="161" t="s">
        <v>538</v>
      </c>
      <c r="E183" s="151"/>
      <c r="F183" s="152" t="s">
        <v>445</v>
      </c>
      <c r="G183" s="154">
        <v>2</v>
      </c>
      <c r="H183" s="161">
        <v>2008</v>
      </c>
      <c r="I183" s="135">
        <v>2.64</v>
      </c>
      <c r="J183" s="592">
        <f t="shared" si="25"/>
        <v>100</v>
      </c>
      <c r="K183" s="600">
        <f t="shared" si="26"/>
        <v>0</v>
      </c>
      <c r="L183" s="592"/>
      <c r="M183" s="592"/>
      <c r="N183" s="600">
        <f t="shared" si="27"/>
        <v>0</v>
      </c>
      <c r="O183" s="592"/>
      <c r="P183" s="592"/>
      <c r="Q183" s="600">
        <f t="shared" si="28"/>
        <v>0</v>
      </c>
    </row>
    <row r="184" spans="3:17" ht="17.25">
      <c r="C184" s="561">
        <v>9</v>
      </c>
      <c r="D184" s="163" t="s">
        <v>539</v>
      </c>
      <c r="E184" s="148"/>
      <c r="F184" s="138" t="s">
        <v>445</v>
      </c>
      <c r="G184" s="154">
        <v>1</v>
      </c>
      <c r="H184" s="163">
        <v>2008</v>
      </c>
      <c r="I184" s="135">
        <v>1.75788</v>
      </c>
      <c r="J184" s="592">
        <f t="shared" si="25"/>
        <v>100</v>
      </c>
      <c r="K184" s="600">
        <f t="shared" si="26"/>
        <v>0</v>
      </c>
      <c r="L184" s="592"/>
      <c r="M184" s="592"/>
      <c r="N184" s="600">
        <f t="shared" si="27"/>
        <v>0</v>
      </c>
      <c r="O184" s="607"/>
      <c r="P184" s="606"/>
      <c r="Q184" s="600">
        <f t="shared" si="28"/>
        <v>0</v>
      </c>
    </row>
    <row r="185" spans="3:17" ht="17.25">
      <c r="C185" s="561">
        <v>10</v>
      </c>
      <c r="D185" s="163" t="s">
        <v>540</v>
      </c>
      <c r="E185" s="148"/>
      <c r="F185" s="138" t="s">
        <v>445</v>
      </c>
      <c r="G185" s="154">
        <v>2</v>
      </c>
      <c r="H185" s="163">
        <v>2008</v>
      </c>
      <c r="I185" s="135">
        <v>3.6</v>
      </c>
      <c r="J185" s="592">
        <f t="shared" si="25"/>
        <v>100</v>
      </c>
      <c r="K185" s="600">
        <f t="shared" si="26"/>
        <v>0</v>
      </c>
      <c r="L185" s="592"/>
      <c r="M185" s="592"/>
      <c r="N185" s="600">
        <f t="shared" si="27"/>
        <v>0</v>
      </c>
      <c r="O185" s="592"/>
      <c r="P185" s="592"/>
      <c r="Q185" s="600">
        <f t="shared" si="28"/>
        <v>0</v>
      </c>
    </row>
    <row r="186" spans="3:17" ht="17.25">
      <c r="C186" s="561">
        <v>11</v>
      </c>
      <c r="D186" s="163" t="s">
        <v>541</v>
      </c>
      <c r="E186" s="148"/>
      <c r="F186" s="138" t="s">
        <v>445</v>
      </c>
      <c r="G186" s="154">
        <v>2</v>
      </c>
      <c r="H186" s="163">
        <v>2000</v>
      </c>
      <c r="I186" s="135">
        <v>4</v>
      </c>
      <c r="J186" s="592">
        <f t="shared" si="25"/>
        <v>100</v>
      </c>
      <c r="K186" s="600">
        <f t="shared" si="26"/>
        <v>0</v>
      </c>
      <c r="L186" s="592"/>
      <c r="M186" s="592"/>
      <c r="N186" s="600">
        <f t="shared" si="27"/>
        <v>0</v>
      </c>
      <c r="O186" s="592"/>
      <c r="P186" s="592"/>
      <c r="Q186" s="600">
        <f t="shared" si="28"/>
        <v>0</v>
      </c>
    </row>
    <row r="187" spans="3:17" ht="17.25">
      <c r="C187" s="561">
        <v>12</v>
      </c>
      <c r="D187" s="163" t="s">
        <v>542</v>
      </c>
      <c r="E187" s="148"/>
      <c r="F187" s="138" t="s">
        <v>445</v>
      </c>
      <c r="G187" s="154">
        <v>5</v>
      </c>
      <c r="H187" s="163">
        <v>2008</v>
      </c>
      <c r="I187" s="135">
        <v>10</v>
      </c>
      <c r="J187" s="592">
        <f t="shared" si="25"/>
        <v>100</v>
      </c>
      <c r="K187" s="600">
        <f t="shared" si="26"/>
        <v>0</v>
      </c>
      <c r="L187" s="592"/>
      <c r="M187" s="592"/>
      <c r="N187" s="600">
        <f t="shared" si="27"/>
        <v>0</v>
      </c>
      <c r="O187" s="607"/>
      <c r="P187" s="606"/>
      <c r="Q187" s="600">
        <f t="shared" si="28"/>
        <v>0</v>
      </c>
    </row>
    <row r="188" spans="3:17" ht="17.25">
      <c r="C188" s="561">
        <v>13</v>
      </c>
      <c r="D188" s="163" t="s">
        <v>543</v>
      </c>
      <c r="E188" s="148"/>
      <c r="F188" s="138" t="s">
        <v>445</v>
      </c>
      <c r="G188" s="154">
        <v>9</v>
      </c>
      <c r="H188" s="163">
        <v>2008</v>
      </c>
      <c r="I188" s="135">
        <v>19.11852</v>
      </c>
      <c r="J188" s="592">
        <f t="shared" si="25"/>
        <v>100</v>
      </c>
      <c r="K188" s="600">
        <f t="shared" si="26"/>
        <v>0</v>
      </c>
      <c r="L188" s="592"/>
      <c r="M188" s="592"/>
      <c r="N188" s="600">
        <f t="shared" si="27"/>
        <v>0</v>
      </c>
      <c r="O188" s="592"/>
      <c r="P188" s="592"/>
      <c r="Q188" s="600">
        <f t="shared" si="28"/>
        <v>0</v>
      </c>
    </row>
    <row r="189" spans="3:17" ht="17.25">
      <c r="C189" s="561">
        <v>14</v>
      </c>
      <c r="D189" s="163" t="s">
        <v>544</v>
      </c>
      <c r="E189" s="148"/>
      <c r="F189" s="138" t="s">
        <v>445</v>
      </c>
      <c r="G189" s="154">
        <v>3</v>
      </c>
      <c r="H189" s="163">
        <v>2008</v>
      </c>
      <c r="I189" s="135">
        <v>6.37284</v>
      </c>
      <c r="J189" s="592">
        <f t="shared" si="25"/>
        <v>100</v>
      </c>
      <c r="K189" s="600">
        <f t="shared" si="26"/>
        <v>0</v>
      </c>
      <c r="L189" s="592"/>
      <c r="M189" s="592"/>
      <c r="N189" s="600">
        <f t="shared" si="27"/>
        <v>0</v>
      </c>
      <c r="O189" s="592"/>
      <c r="P189" s="592"/>
      <c r="Q189" s="600">
        <f t="shared" si="28"/>
        <v>0</v>
      </c>
    </row>
    <row r="190" spans="3:17" ht="17.25">
      <c r="C190" s="561">
        <v>15</v>
      </c>
      <c r="D190" s="163" t="s">
        <v>544</v>
      </c>
      <c r="E190" s="148"/>
      <c r="F190" s="138" t="s">
        <v>445</v>
      </c>
      <c r="G190" s="154">
        <v>2</v>
      </c>
      <c r="H190" s="163">
        <v>2008</v>
      </c>
      <c r="I190" s="135">
        <v>4.54168</v>
      </c>
      <c r="J190" s="592">
        <f t="shared" si="25"/>
        <v>100</v>
      </c>
      <c r="K190" s="600">
        <f t="shared" si="26"/>
        <v>0</v>
      </c>
      <c r="L190" s="592"/>
      <c r="M190" s="592"/>
      <c r="N190" s="600">
        <f t="shared" si="27"/>
        <v>0</v>
      </c>
      <c r="O190" s="592"/>
      <c r="P190" s="592"/>
      <c r="Q190" s="600">
        <f t="shared" si="28"/>
        <v>0</v>
      </c>
    </row>
    <row r="191" spans="3:17" ht="17.25">
      <c r="C191" s="561">
        <v>16</v>
      </c>
      <c r="D191" s="163" t="s">
        <v>545</v>
      </c>
      <c r="E191" s="148"/>
      <c r="F191" s="138" t="s">
        <v>445</v>
      </c>
      <c r="G191" s="154">
        <v>1</v>
      </c>
      <c r="H191" s="163">
        <v>2008</v>
      </c>
      <c r="I191" s="135">
        <v>2.83876</v>
      </c>
      <c r="J191" s="592">
        <f t="shared" si="25"/>
        <v>100</v>
      </c>
      <c r="K191" s="600">
        <f t="shared" si="26"/>
        <v>0</v>
      </c>
      <c r="L191" s="592"/>
      <c r="M191" s="592"/>
      <c r="N191" s="600">
        <f t="shared" si="27"/>
        <v>0</v>
      </c>
      <c r="O191" s="592"/>
      <c r="P191" s="592"/>
      <c r="Q191" s="600">
        <f t="shared" si="28"/>
        <v>0</v>
      </c>
    </row>
    <row r="192" spans="3:17" ht="17.25">
      <c r="C192" s="561">
        <v>17</v>
      </c>
      <c r="D192" s="163" t="s">
        <v>541</v>
      </c>
      <c r="E192" s="148"/>
      <c r="F192" s="138" t="s">
        <v>445</v>
      </c>
      <c r="G192" s="154">
        <v>3</v>
      </c>
      <c r="H192" s="163">
        <v>2004</v>
      </c>
      <c r="I192" s="135">
        <v>9</v>
      </c>
      <c r="J192" s="592">
        <f t="shared" si="25"/>
        <v>100</v>
      </c>
      <c r="K192" s="600">
        <f t="shared" si="26"/>
        <v>0</v>
      </c>
      <c r="L192" s="592"/>
      <c r="M192" s="592"/>
      <c r="N192" s="600">
        <f t="shared" si="27"/>
        <v>0</v>
      </c>
      <c r="O192" s="592"/>
      <c r="P192" s="592"/>
      <c r="Q192" s="600">
        <f t="shared" si="28"/>
        <v>0</v>
      </c>
    </row>
    <row r="193" spans="3:17" ht="17.25">
      <c r="C193" s="561">
        <v>18</v>
      </c>
      <c r="D193" s="163" t="s">
        <v>539</v>
      </c>
      <c r="E193" s="148"/>
      <c r="F193" s="138" t="s">
        <v>445</v>
      </c>
      <c r="G193" s="154">
        <v>4</v>
      </c>
      <c r="H193" s="163">
        <v>2008</v>
      </c>
      <c r="I193" s="135">
        <v>13.6</v>
      </c>
      <c r="J193" s="592">
        <f t="shared" si="25"/>
        <v>100</v>
      </c>
      <c r="K193" s="600">
        <f t="shared" si="26"/>
        <v>0</v>
      </c>
      <c r="L193" s="592"/>
      <c r="M193" s="592"/>
      <c r="N193" s="600">
        <f t="shared" si="27"/>
        <v>0</v>
      </c>
      <c r="O193" s="592"/>
      <c r="P193" s="592"/>
      <c r="Q193" s="600">
        <f t="shared" si="28"/>
        <v>0</v>
      </c>
    </row>
    <row r="194" spans="3:17" ht="17.25">
      <c r="C194" s="561">
        <v>19</v>
      </c>
      <c r="D194" s="163" t="s">
        <v>546</v>
      </c>
      <c r="E194" s="148"/>
      <c r="F194" s="138" t="s">
        <v>445</v>
      </c>
      <c r="G194" s="154">
        <v>48</v>
      </c>
      <c r="H194" s="163">
        <v>2008</v>
      </c>
      <c r="I194" s="135">
        <v>172.8</v>
      </c>
      <c r="J194" s="592">
        <f t="shared" si="25"/>
        <v>100</v>
      </c>
      <c r="K194" s="600">
        <f t="shared" si="26"/>
        <v>0</v>
      </c>
      <c r="L194" s="592"/>
      <c r="M194" s="592"/>
      <c r="N194" s="600">
        <f t="shared" si="27"/>
        <v>0</v>
      </c>
      <c r="O194" s="592"/>
      <c r="P194" s="592"/>
      <c r="Q194" s="600">
        <f t="shared" si="28"/>
        <v>0</v>
      </c>
    </row>
    <row r="195" spans="3:17" ht="17.25">
      <c r="C195" s="561">
        <v>20</v>
      </c>
      <c r="D195" s="163" t="s">
        <v>547</v>
      </c>
      <c r="E195" s="148"/>
      <c r="F195" s="138" t="s">
        <v>445</v>
      </c>
      <c r="G195" s="154">
        <v>1</v>
      </c>
      <c r="H195" s="163">
        <v>2008</v>
      </c>
      <c r="I195" s="135">
        <v>3.7722399999999996</v>
      </c>
      <c r="J195" s="592">
        <f t="shared" si="25"/>
        <v>100</v>
      </c>
      <c r="K195" s="600">
        <f>IF(J195=100,0,I195-I195*J195%)</f>
        <v>0</v>
      </c>
      <c r="L195" s="592"/>
      <c r="M195" s="592"/>
      <c r="N195" s="600">
        <f>+L195*M195</f>
        <v>0</v>
      </c>
      <c r="O195" s="607"/>
      <c r="P195" s="606"/>
      <c r="Q195" s="600">
        <f t="shared" si="28"/>
        <v>0</v>
      </c>
    </row>
    <row r="196" spans="3:17" ht="17.25">
      <c r="C196" s="561">
        <v>21</v>
      </c>
      <c r="D196" s="163" t="s">
        <v>548</v>
      </c>
      <c r="E196" s="148"/>
      <c r="F196" s="138" t="s">
        <v>445</v>
      </c>
      <c r="G196" s="154">
        <v>1</v>
      </c>
      <c r="H196" s="163">
        <v>2008</v>
      </c>
      <c r="I196" s="135">
        <v>4.1203199999999995</v>
      </c>
      <c r="J196" s="592">
        <f t="shared" si="25"/>
        <v>100</v>
      </c>
      <c r="K196" s="600">
        <f aca="true" t="shared" si="29" ref="K196:K228">IF(J196=100,0,I196-I196*J196%)</f>
        <v>0</v>
      </c>
      <c r="L196" s="592"/>
      <c r="M196" s="592"/>
      <c r="N196" s="600">
        <f aca="true" t="shared" si="30" ref="N196:N230">+L196*M196</f>
        <v>0</v>
      </c>
      <c r="O196" s="592"/>
      <c r="P196" s="592"/>
      <c r="Q196" s="600">
        <f t="shared" si="28"/>
        <v>0</v>
      </c>
    </row>
    <row r="197" spans="3:17" ht="17.25">
      <c r="C197" s="561">
        <v>22</v>
      </c>
      <c r="D197" s="163" t="s">
        <v>549</v>
      </c>
      <c r="E197" s="148"/>
      <c r="F197" s="138" t="s">
        <v>445</v>
      </c>
      <c r="G197" s="154">
        <v>7</v>
      </c>
      <c r="H197" s="163">
        <v>2007</v>
      </c>
      <c r="I197" s="135">
        <v>35</v>
      </c>
      <c r="J197" s="592">
        <f t="shared" si="25"/>
        <v>100</v>
      </c>
      <c r="K197" s="600">
        <f t="shared" si="29"/>
        <v>0</v>
      </c>
      <c r="L197" s="592"/>
      <c r="M197" s="592"/>
      <c r="N197" s="600">
        <f t="shared" si="30"/>
        <v>0</v>
      </c>
      <c r="O197" s="592"/>
      <c r="P197" s="592"/>
      <c r="Q197" s="600">
        <f t="shared" si="28"/>
        <v>0</v>
      </c>
    </row>
    <row r="198" spans="3:17" ht="17.25">
      <c r="C198" s="561">
        <v>23</v>
      </c>
      <c r="D198" s="163" t="s">
        <v>549</v>
      </c>
      <c r="E198" s="148"/>
      <c r="F198" s="138" t="s">
        <v>445</v>
      </c>
      <c r="G198" s="154">
        <v>7</v>
      </c>
      <c r="H198" s="163">
        <v>2006</v>
      </c>
      <c r="I198" s="135">
        <v>35</v>
      </c>
      <c r="J198" s="592">
        <f t="shared" si="25"/>
        <v>100</v>
      </c>
      <c r="K198" s="600">
        <f t="shared" si="29"/>
        <v>0</v>
      </c>
      <c r="L198" s="592"/>
      <c r="M198" s="592"/>
      <c r="N198" s="600">
        <f t="shared" si="30"/>
        <v>0</v>
      </c>
      <c r="O198" s="592"/>
      <c r="P198" s="592"/>
      <c r="Q198" s="600">
        <f t="shared" si="28"/>
        <v>0</v>
      </c>
    </row>
    <row r="199" spans="3:17" ht="17.25">
      <c r="C199" s="561">
        <v>24</v>
      </c>
      <c r="D199" s="163" t="s">
        <v>550</v>
      </c>
      <c r="E199" s="148"/>
      <c r="F199" s="138" t="s">
        <v>445</v>
      </c>
      <c r="G199" s="154">
        <v>8</v>
      </c>
      <c r="H199" s="163">
        <v>2003</v>
      </c>
      <c r="I199" s="135">
        <v>40</v>
      </c>
      <c r="J199" s="592">
        <f t="shared" si="25"/>
        <v>100</v>
      </c>
      <c r="K199" s="600">
        <f t="shared" si="29"/>
        <v>0</v>
      </c>
      <c r="L199" s="592"/>
      <c r="M199" s="592"/>
      <c r="N199" s="600">
        <f t="shared" si="30"/>
        <v>0</v>
      </c>
      <c r="O199" s="592"/>
      <c r="P199" s="592"/>
      <c r="Q199" s="600">
        <f t="shared" si="28"/>
        <v>0</v>
      </c>
    </row>
    <row r="200" spans="3:17" ht="17.25">
      <c r="C200" s="561">
        <v>25</v>
      </c>
      <c r="D200" s="137" t="s">
        <v>551</v>
      </c>
      <c r="E200" s="148"/>
      <c r="F200" s="138" t="s">
        <v>445</v>
      </c>
      <c r="G200" s="154">
        <v>1</v>
      </c>
      <c r="H200" s="163">
        <v>2001</v>
      </c>
      <c r="I200" s="135">
        <v>5</v>
      </c>
      <c r="J200" s="592">
        <f t="shared" si="25"/>
        <v>100</v>
      </c>
      <c r="K200" s="600">
        <f t="shared" si="29"/>
        <v>0</v>
      </c>
      <c r="L200" s="592"/>
      <c r="M200" s="592"/>
      <c r="N200" s="600">
        <f t="shared" si="30"/>
        <v>0</v>
      </c>
      <c r="O200" s="592"/>
      <c r="P200" s="592"/>
      <c r="Q200" s="600">
        <f t="shared" si="28"/>
        <v>0</v>
      </c>
    </row>
    <row r="201" spans="3:17" ht="17.25">
      <c r="C201" s="561">
        <v>26</v>
      </c>
      <c r="D201" s="137" t="s">
        <v>552</v>
      </c>
      <c r="E201" s="148"/>
      <c r="F201" s="138" t="s">
        <v>445</v>
      </c>
      <c r="G201" s="154">
        <v>5</v>
      </c>
      <c r="H201" s="163">
        <v>2001</v>
      </c>
      <c r="I201" s="135">
        <v>25</v>
      </c>
      <c r="J201" s="592">
        <f t="shared" si="25"/>
        <v>100</v>
      </c>
      <c r="K201" s="600">
        <f t="shared" si="29"/>
        <v>0</v>
      </c>
      <c r="L201" s="592"/>
      <c r="M201" s="592"/>
      <c r="N201" s="600">
        <f t="shared" si="30"/>
        <v>0</v>
      </c>
      <c r="O201" s="592"/>
      <c r="P201" s="592"/>
      <c r="Q201" s="600">
        <f t="shared" si="28"/>
        <v>0</v>
      </c>
    </row>
    <row r="202" spans="3:17" ht="17.25">
      <c r="C202" s="561">
        <v>27</v>
      </c>
      <c r="D202" s="137" t="s">
        <v>553</v>
      </c>
      <c r="E202" s="148"/>
      <c r="F202" s="138" t="s">
        <v>445</v>
      </c>
      <c r="G202" s="154">
        <v>1</v>
      </c>
      <c r="H202" s="163">
        <v>2005</v>
      </c>
      <c r="I202" s="135">
        <v>5</v>
      </c>
      <c r="J202" s="592">
        <f t="shared" si="25"/>
        <v>100</v>
      </c>
      <c r="K202" s="600">
        <f t="shared" si="29"/>
        <v>0</v>
      </c>
      <c r="L202" s="592"/>
      <c r="M202" s="592"/>
      <c r="N202" s="600">
        <f t="shared" si="30"/>
        <v>0</v>
      </c>
      <c r="O202" s="592"/>
      <c r="P202" s="592"/>
      <c r="Q202" s="600">
        <f t="shared" si="28"/>
        <v>0</v>
      </c>
    </row>
    <row r="203" spans="3:17" ht="17.25">
      <c r="C203" s="561">
        <v>28</v>
      </c>
      <c r="D203" s="110" t="s">
        <v>554</v>
      </c>
      <c r="E203" s="148"/>
      <c r="F203" s="138" t="s">
        <v>445</v>
      </c>
      <c r="G203" s="154">
        <v>1</v>
      </c>
      <c r="H203" s="164">
        <v>2001</v>
      </c>
      <c r="I203" s="135">
        <v>5</v>
      </c>
      <c r="J203" s="592">
        <f t="shared" si="25"/>
        <v>100</v>
      </c>
      <c r="K203" s="600">
        <f t="shared" si="29"/>
        <v>0</v>
      </c>
      <c r="L203" s="592"/>
      <c r="M203" s="592"/>
      <c r="N203" s="600">
        <f t="shared" si="30"/>
        <v>0</v>
      </c>
      <c r="O203" s="592"/>
      <c r="P203" s="592"/>
      <c r="Q203" s="600">
        <f t="shared" si="28"/>
        <v>0</v>
      </c>
    </row>
    <row r="204" spans="3:17" ht="17.25">
      <c r="C204" s="561">
        <v>29</v>
      </c>
      <c r="D204" s="137" t="s">
        <v>555</v>
      </c>
      <c r="E204" s="148"/>
      <c r="F204" s="138" t="s">
        <v>445</v>
      </c>
      <c r="G204" s="154">
        <v>3</v>
      </c>
      <c r="H204" s="163">
        <v>2003</v>
      </c>
      <c r="I204" s="135">
        <v>15</v>
      </c>
      <c r="J204" s="592">
        <f t="shared" si="25"/>
        <v>100</v>
      </c>
      <c r="K204" s="600">
        <f t="shared" si="29"/>
        <v>0</v>
      </c>
      <c r="L204" s="592"/>
      <c r="M204" s="592"/>
      <c r="N204" s="600">
        <f t="shared" si="30"/>
        <v>0</v>
      </c>
      <c r="O204" s="592"/>
      <c r="P204" s="592"/>
      <c r="Q204" s="600">
        <f t="shared" si="28"/>
        <v>0</v>
      </c>
    </row>
    <row r="205" spans="3:17" ht="17.25">
      <c r="C205" s="561">
        <v>30</v>
      </c>
      <c r="D205" s="137" t="s">
        <v>556</v>
      </c>
      <c r="E205" s="148"/>
      <c r="F205" s="138" t="s">
        <v>445</v>
      </c>
      <c r="G205" s="154">
        <v>9</v>
      </c>
      <c r="H205" s="163">
        <v>2000</v>
      </c>
      <c r="I205" s="135">
        <v>45</v>
      </c>
      <c r="J205" s="592">
        <f t="shared" si="25"/>
        <v>100</v>
      </c>
      <c r="K205" s="600">
        <f t="shared" si="29"/>
        <v>0</v>
      </c>
      <c r="L205" s="592"/>
      <c r="M205" s="592"/>
      <c r="N205" s="600">
        <f t="shared" si="30"/>
        <v>0</v>
      </c>
      <c r="O205" s="592"/>
      <c r="P205" s="592"/>
      <c r="Q205" s="600">
        <f t="shared" si="28"/>
        <v>0</v>
      </c>
    </row>
    <row r="206" spans="3:17" ht="17.25">
      <c r="C206" s="561">
        <v>31</v>
      </c>
      <c r="D206" s="137" t="s">
        <v>557</v>
      </c>
      <c r="E206" s="148"/>
      <c r="F206" s="138" t="s">
        <v>445</v>
      </c>
      <c r="G206" s="154">
        <v>3</v>
      </c>
      <c r="H206" s="163">
        <v>2000</v>
      </c>
      <c r="I206" s="135">
        <v>15</v>
      </c>
      <c r="J206" s="592">
        <f t="shared" si="25"/>
        <v>100</v>
      </c>
      <c r="K206" s="600">
        <f t="shared" si="29"/>
        <v>0</v>
      </c>
      <c r="L206" s="592"/>
      <c r="M206" s="592"/>
      <c r="N206" s="600">
        <f t="shared" si="30"/>
        <v>0</v>
      </c>
      <c r="O206" s="592"/>
      <c r="P206" s="592"/>
      <c r="Q206" s="600">
        <f t="shared" si="28"/>
        <v>0</v>
      </c>
    </row>
    <row r="207" spans="3:17" ht="17.25">
      <c r="C207" s="561">
        <v>32</v>
      </c>
      <c r="D207" s="137" t="s">
        <v>558</v>
      </c>
      <c r="E207" s="148"/>
      <c r="F207" s="138" t="s">
        <v>445</v>
      </c>
      <c r="G207" s="154">
        <v>9</v>
      </c>
      <c r="H207" s="163">
        <v>2000</v>
      </c>
      <c r="I207" s="135">
        <v>45</v>
      </c>
      <c r="J207" s="592">
        <f t="shared" si="25"/>
        <v>100</v>
      </c>
      <c r="K207" s="600">
        <f t="shared" si="29"/>
        <v>0</v>
      </c>
      <c r="L207" s="592"/>
      <c r="M207" s="592"/>
      <c r="N207" s="600">
        <f t="shared" si="30"/>
        <v>0</v>
      </c>
      <c r="O207" s="592"/>
      <c r="P207" s="592"/>
      <c r="Q207" s="600">
        <f t="shared" si="28"/>
        <v>0</v>
      </c>
    </row>
    <row r="208" spans="3:17" ht="17.25">
      <c r="C208" s="561">
        <v>33</v>
      </c>
      <c r="D208" s="137" t="s">
        <v>548</v>
      </c>
      <c r="E208" s="148"/>
      <c r="F208" s="138" t="s">
        <v>445</v>
      </c>
      <c r="G208" s="154">
        <v>6</v>
      </c>
      <c r="H208" s="163">
        <v>2008</v>
      </c>
      <c r="I208" s="135">
        <v>31.2</v>
      </c>
      <c r="J208" s="592">
        <f aca="true" t="shared" si="31" ref="J208:J239">IF(($J$14-H208)*J$175&gt;100,100,($J$14-H208)*J$175)</f>
        <v>100</v>
      </c>
      <c r="K208" s="600">
        <f t="shared" si="29"/>
        <v>0</v>
      </c>
      <c r="L208" s="592"/>
      <c r="M208" s="592"/>
      <c r="N208" s="600">
        <f t="shared" si="30"/>
        <v>0</v>
      </c>
      <c r="O208" s="592"/>
      <c r="P208" s="592"/>
      <c r="Q208" s="600">
        <f t="shared" si="28"/>
        <v>0</v>
      </c>
    </row>
    <row r="209" spans="3:17" ht="17.25">
      <c r="C209" s="561">
        <v>34</v>
      </c>
      <c r="D209" s="137" t="s">
        <v>559</v>
      </c>
      <c r="E209" s="148"/>
      <c r="F209" s="138" t="s">
        <v>445</v>
      </c>
      <c r="G209" s="154">
        <v>15</v>
      </c>
      <c r="H209" s="163">
        <v>2008</v>
      </c>
      <c r="I209" s="135">
        <v>81.6</v>
      </c>
      <c r="J209" s="592">
        <f t="shared" si="31"/>
        <v>100</v>
      </c>
      <c r="K209" s="600">
        <f t="shared" si="29"/>
        <v>0</v>
      </c>
      <c r="L209" s="592"/>
      <c r="M209" s="592"/>
      <c r="N209" s="600">
        <f t="shared" si="30"/>
        <v>0</v>
      </c>
      <c r="O209" s="592"/>
      <c r="P209" s="592"/>
      <c r="Q209" s="600">
        <f t="shared" si="28"/>
        <v>0</v>
      </c>
    </row>
    <row r="210" spans="3:17" ht="17.25">
      <c r="C210" s="561">
        <v>35</v>
      </c>
      <c r="D210" s="137" t="s">
        <v>560</v>
      </c>
      <c r="E210" s="148"/>
      <c r="F210" s="138" t="s">
        <v>445</v>
      </c>
      <c r="G210" s="154">
        <v>40</v>
      </c>
      <c r="H210" s="163">
        <v>2016</v>
      </c>
      <c r="I210" s="135">
        <v>277.1888</v>
      </c>
      <c r="J210" s="592">
        <f t="shared" si="31"/>
        <v>90</v>
      </c>
      <c r="K210" s="600">
        <f t="shared" si="29"/>
        <v>27.718879999999984</v>
      </c>
      <c r="L210" s="592"/>
      <c r="M210" s="592"/>
      <c r="N210" s="600">
        <f t="shared" si="30"/>
        <v>0</v>
      </c>
      <c r="O210" s="592"/>
      <c r="P210" s="592"/>
      <c r="Q210" s="600">
        <f t="shared" si="28"/>
        <v>0</v>
      </c>
    </row>
    <row r="211" spans="3:17" ht="17.25">
      <c r="C211" s="561">
        <v>36</v>
      </c>
      <c r="D211" s="137" t="s">
        <v>561</v>
      </c>
      <c r="E211" s="148"/>
      <c r="F211" s="138" t="s">
        <v>445</v>
      </c>
      <c r="G211" s="154">
        <v>1</v>
      </c>
      <c r="H211" s="163">
        <v>2008</v>
      </c>
      <c r="I211" s="135">
        <v>6.96</v>
      </c>
      <c r="J211" s="592">
        <f t="shared" si="31"/>
        <v>100</v>
      </c>
      <c r="K211" s="600">
        <f t="shared" si="29"/>
        <v>0</v>
      </c>
      <c r="L211" s="592"/>
      <c r="M211" s="592"/>
      <c r="N211" s="600">
        <f t="shared" si="30"/>
        <v>0</v>
      </c>
      <c r="O211" s="592"/>
      <c r="P211" s="592"/>
      <c r="Q211" s="600">
        <f t="shared" si="28"/>
        <v>0</v>
      </c>
    </row>
    <row r="212" spans="3:17" ht="17.25">
      <c r="C212" s="561">
        <v>37</v>
      </c>
      <c r="D212" s="137" t="s">
        <v>562</v>
      </c>
      <c r="E212" s="148"/>
      <c r="F212" s="138" t="s">
        <v>445</v>
      </c>
      <c r="G212" s="154">
        <v>4</v>
      </c>
      <c r="H212" s="163">
        <v>2003</v>
      </c>
      <c r="I212" s="135">
        <v>28</v>
      </c>
      <c r="J212" s="592">
        <f t="shared" si="31"/>
        <v>100</v>
      </c>
      <c r="K212" s="600">
        <f t="shared" si="29"/>
        <v>0</v>
      </c>
      <c r="L212" s="592"/>
      <c r="M212" s="592"/>
      <c r="N212" s="600">
        <f t="shared" si="30"/>
        <v>0</v>
      </c>
      <c r="O212" s="592"/>
      <c r="P212" s="592"/>
      <c r="Q212" s="600">
        <f t="shared" si="28"/>
        <v>0</v>
      </c>
    </row>
    <row r="213" spans="3:17" ht="17.25">
      <c r="C213" s="561">
        <v>38</v>
      </c>
      <c r="D213" s="137" t="s">
        <v>563</v>
      </c>
      <c r="E213" s="148"/>
      <c r="F213" s="138" t="s">
        <v>445</v>
      </c>
      <c r="G213" s="154">
        <v>3</v>
      </c>
      <c r="H213" s="163">
        <v>2008</v>
      </c>
      <c r="I213" s="135">
        <v>21.6</v>
      </c>
      <c r="J213" s="592">
        <f t="shared" si="31"/>
        <v>100</v>
      </c>
      <c r="K213" s="600">
        <f t="shared" si="29"/>
        <v>0</v>
      </c>
      <c r="L213" s="592"/>
      <c r="M213" s="592"/>
      <c r="N213" s="600">
        <f t="shared" si="30"/>
        <v>0</v>
      </c>
      <c r="O213" s="592"/>
      <c r="P213" s="592"/>
      <c r="Q213" s="600">
        <f t="shared" si="28"/>
        <v>0</v>
      </c>
    </row>
    <row r="214" spans="3:17" ht="17.25">
      <c r="C214" s="561">
        <v>39</v>
      </c>
      <c r="D214" s="137" t="s">
        <v>564</v>
      </c>
      <c r="E214" s="148"/>
      <c r="F214" s="138" t="s">
        <v>445</v>
      </c>
      <c r="G214" s="154">
        <v>1</v>
      </c>
      <c r="H214" s="163">
        <v>2005</v>
      </c>
      <c r="I214" s="135">
        <v>8</v>
      </c>
      <c r="J214" s="592">
        <f t="shared" si="31"/>
        <v>100</v>
      </c>
      <c r="K214" s="600">
        <f t="shared" si="29"/>
        <v>0</v>
      </c>
      <c r="L214" s="592"/>
      <c r="M214" s="592"/>
      <c r="N214" s="600">
        <f t="shared" si="30"/>
        <v>0</v>
      </c>
      <c r="O214" s="592"/>
      <c r="P214" s="592"/>
      <c r="Q214" s="600">
        <f t="shared" si="28"/>
        <v>0</v>
      </c>
    </row>
    <row r="215" spans="3:17" ht="17.25">
      <c r="C215" s="561">
        <v>40</v>
      </c>
      <c r="D215" s="137" t="s">
        <v>565</v>
      </c>
      <c r="E215" s="148"/>
      <c r="F215" s="138" t="s">
        <v>445</v>
      </c>
      <c r="G215" s="154">
        <v>1</v>
      </c>
      <c r="H215" s="163">
        <v>2002</v>
      </c>
      <c r="I215" s="135">
        <v>8</v>
      </c>
      <c r="J215" s="592">
        <f t="shared" si="31"/>
        <v>100</v>
      </c>
      <c r="K215" s="600">
        <f t="shared" si="29"/>
        <v>0</v>
      </c>
      <c r="L215" s="592"/>
      <c r="M215" s="592"/>
      <c r="N215" s="600">
        <f t="shared" si="30"/>
        <v>0</v>
      </c>
      <c r="O215" s="592"/>
      <c r="P215" s="592"/>
      <c r="Q215" s="600">
        <f t="shared" si="28"/>
        <v>0</v>
      </c>
    </row>
    <row r="216" spans="3:17" ht="17.25">
      <c r="C216" s="561">
        <v>41</v>
      </c>
      <c r="D216" s="137" t="s">
        <v>566</v>
      </c>
      <c r="E216" s="148"/>
      <c r="F216" s="138" t="s">
        <v>445</v>
      </c>
      <c r="G216" s="154">
        <v>2</v>
      </c>
      <c r="H216" s="163">
        <v>2002</v>
      </c>
      <c r="I216" s="135">
        <v>16</v>
      </c>
      <c r="J216" s="592">
        <f t="shared" si="31"/>
        <v>100</v>
      </c>
      <c r="K216" s="600">
        <f t="shared" si="29"/>
        <v>0</v>
      </c>
      <c r="L216" s="592"/>
      <c r="M216" s="592"/>
      <c r="N216" s="600">
        <f t="shared" si="30"/>
        <v>0</v>
      </c>
      <c r="O216" s="592"/>
      <c r="P216" s="592"/>
      <c r="Q216" s="600">
        <f t="shared" si="28"/>
        <v>0</v>
      </c>
    </row>
    <row r="217" spans="3:17" ht="17.25">
      <c r="C217" s="561">
        <v>42</v>
      </c>
      <c r="D217" s="137" t="s">
        <v>564</v>
      </c>
      <c r="E217" s="148"/>
      <c r="F217" s="138" t="s">
        <v>445</v>
      </c>
      <c r="G217" s="154">
        <v>5</v>
      </c>
      <c r="H217" s="163">
        <v>2002</v>
      </c>
      <c r="I217" s="135">
        <v>40</v>
      </c>
      <c r="J217" s="592">
        <f t="shared" si="31"/>
        <v>100</v>
      </c>
      <c r="K217" s="600">
        <f t="shared" si="29"/>
        <v>0</v>
      </c>
      <c r="L217" s="592"/>
      <c r="M217" s="592"/>
      <c r="N217" s="600">
        <f t="shared" si="30"/>
        <v>0</v>
      </c>
      <c r="O217" s="592"/>
      <c r="P217" s="592"/>
      <c r="Q217" s="600">
        <f t="shared" si="28"/>
        <v>0</v>
      </c>
    </row>
    <row r="218" spans="3:17" ht="17.25">
      <c r="C218" s="561">
        <v>43</v>
      </c>
      <c r="D218" s="137" t="s">
        <v>564</v>
      </c>
      <c r="E218" s="148"/>
      <c r="F218" s="138" t="s">
        <v>445</v>
      </c>
      <c r="G218" s="154">
        <v>1</v>
      </c>
      <c r="H218" s="163">
        <v>2005</v>
      </c>
      <c r="I218" s="135">
        <v>8</v>
      </c>
      <c r="J218" s="592">
        <f t="shared" si="31"/>
        <v>100</v>
      </c>
      <c r="K218" s="600">
        <f t="shared" si="29"/>
        <v>0</v>
      </c>
      <c r="L218" s="592"/>
      <c r="M218" s="592"/>
      <c r="N218" s="600">
        <f t="shared" si="30"/>
        <v>0</v>
      </c>
      <c r="O218" s="592"/>
      <c r="P218" s="592"/>
      <c r="Q218" s="600">
        <f t="shared" si="28"/>
        <v>0</v>
      </c>
    </row>
    <row r="219" spans="3:17" ht="17.25">
      <c r="C219" s="561">
        <v>44</v>
      </c>
      <c r="D219" s="137" t="s">
        <v>557</v>
      </c>
      <c r="E219" s="148"/>
      <c r="F219" s="138" t="s">
        <v>445</v>
      </c>
      <c r="G219" s="154">
        <v>6</v>
      </c>
      <c r="H219" s="163">
        <v>2000</v>
      </c>
      <c r="I219" s="135">
        <v>48</v>
      </c>
      <c r="J219" s="592">
        <f t="shared" si="31"/>
        <v>100</v>
      </c>
      <c r="K219" s="600">
        <f t="shared" si="29"/>
        <v>0</v>
      </c>
      <c r="L219" s="592"/>
      <c r="M219" s="592"/>
      <c r="N219" s="600">
        <f t="shared" si="30"/>
        <v>0</v>
      </c>
      <c r="O219" s="592"/>
      <c r="P219" s="592"/>
      <c r="Q219" s="600">
        <f t="shared" si="28"/>
        <v>0</v>
      </c>
    </row>
    <row r="220" spans="3:17" ht="17.25">
      <c r="C220" s="561">
        <v>45</v>
      </c>
      <c r="D220" s="137" t="s">
        <v>567</v>
      </c>
      <c r="E220" s="148"/>
      <c r="F220" s="138" t="s">
        <v>445</v>
      </c>
      <c r="G220" s="154">
        <v>2</v>
      </c>
      <c r="H220" s="163">
        <v>2001</v>
      </c>
      <c r="I220" s="135">
        <v>18</v>
      </c>
      <c r="J220" s="592">
        <f t="shared" si="31"/>
        <v>100</v>
      </c>
      <c r="K220" s="600">
        <f t="shared" si="29"/>
        <v>0</v>
      </c>
      <c r="L220" s="592"/>
      <c r="M220" s="592"/>
      <c r="N220" s="600">
        <f t="shared" si="30"/>
        <v>0</v>
      </c>
      <c r="O220" s="592"/>
      <c r="P220" s="592"/>
      <c r="Q220" s="600">
        <f t="shared" si="28"/>
        <v>0</v>
      </c>
    </row>
    <row r="221" spans="3:17" ht="17.25">
      <c r="C221" s="561">
        <v>46</v>
      </c>
      <c r="D221" s="137" t="s">
        <v>536</v>
      </c>
      <c r="E221" s="148"/>
      <c r="F221" s="138" t="s">
        <v>445</v>
      </c>
      <c r="G221" s="154">
        <v>3</v>
      </c>
      <c r="H221" s="163">
        <v>2001</v>
      </c>
      <c r="I221" s="135">
        <v>27</v>
      </c>
      <c r="J221" s="592">
        <f t="shared" si="31"/>
        <v>100</v>
      </c>
      <c r="K221" s="600">
        <f t="shared" si="29"/>
        <v>0</v>
      </c>
      <c r="L221" s="592"/>
      <c r="M221" s="592"/>
      <c r="N221" s="600">
        <f t="shared" si="30"/>
        <v>0</v>
      </c>
      <c r="O221" s="592"/>
      <c r="P221" s="592"/>
      <c r="Q221" s="600">
        <f t="shared" si="28"/>
        <v>0</v>
      </c>
    </row>
    <row r="222" spans="3:17" ht="17.25">
      <c r="C222" s="561">
        <v>47</v>
      </c>
      <c r="D222" s="137" t="s">
        <v>543</v>
      </c>
      <c r="E222" s="148"/>
      <c r="F222" s="138" t="s">
        <v>445</v>
      </c>
      <c r="G222" s="154">
        <v>3</v>
      </c>
      <c r="H222" s="163">
        <v>2007</v>
      </c>
      <c r="I222" s="135">
        <v>30</v>
      </c>
      <c r="J222" s="592">
        <f t="shared" si="31"/>
        <v>100</v>
      </c>
      <c r="K222" s="600">
        <f t="shared" si="29"/>
        <v>0</v>
      </c>
      <c r="L222" s="592"/>
      <c r="M222" s="592"/>
      <c r="N222" s="600">
        <f t="shared" si="30"/>
        <v>0</v>
      </c>
      <c r="O222" s="592"/>
      <c r="P222" s="592"/>
      <c r="Q222" s="600">
        <f t="shared" si="28"/>
        <v>0</v>
      </c>
    </row>
    <row r="223" spans="3:17" ht="17.25">
      <c r="C223" s="561">
        <v>48</v>
      </c>
      <c r="D223" s="137" t="s">
        <v>564</v>
      </c>
      <c r="E223" s="148"/>
      <c r="F223" s="138" t="s">
        <v>445</v>
      </c>
      <c r="G223" s="154">
        <v>1</v>
      </c>
      <c r="H223" s="163">
        <v>2005</v>
      </c>
      <c r="I223" s="135">
        <v>10</v>
      </c>
      <c r="J223" s="592">
        <f t="shared" si="31"/>
        <v>100</v>
      </c>
      <c r="K223" s="600">
        <f t="shared" si="29"/>
        <v>0</v>
      </c>
      <c r="L223" s="592"/>
      <c r="M223" s="592"/>
      <c r="N223" s="600">
        <f t="shared" si="30"/>
        <v>0</v>
      </c>
      <c r="O223" s="592"/>
      <c r="P223" s="592"/>
      <c r="Q223" s="600">
        <f t="shared" si="28"/>
        <v>0</v>
      </c>
    </row>
    <row r="224" spans="3:17" ht="17.25">
      <c r="C224" s="561">
        <v>49</v>
      </c>
      <c r="D224" s="137" t="s">
        <v>568</v>
      </c>
      <c r="E224" s="148"/>
      <c r="F224" s="138" t="s">
        <v>445</v>
      </c>
      <c r="G224" s="154">
        <v>9</v>
      </c>
      <c r="H224" s="163">
        <v>2000</v>
      </c>
      <c r="I224" s="135">
        <v>90</v>
      </c>
      <c r="J224" s="592">
        <f t="shared" si="31"/>
        <v>100</v>
      </c>
      <c r="K224" s="600">
        <f t="shared" si="29"/>
        <v>0</v>
      </c>
      <c r="L224" s="592"/>
      <c r="M224" s="592"/>
      <c r="N224" s="600">
        <f t="shared" si="30"/>
        <v>0</v>
      </c>
      <c r="O224" s="592"/>
      <c r="P224" s="592"/>
      <c r="Q224" s="600">
        <f t="shared" si="28"/>
        <v>0</v>
      </c>
    </row>
    <row r="225" spans="3:17" ht="17.25">
      <c r="C225" s="561">
        <v>50</v>
      </c>
      <c r="D225" s="137" t="s">
        <v>569</v>
      </c>
      <c r="E225" s="148"/>
      <c r="F225" s="138" t="s">
        <v>445</v>
      </c>
      <c r="G225" s="154">
        <v>4</v>
      </c>
      <c r="H225" s="137">
        <v>2003</v>
      </c>
      <c r="I225" s="135">
        <v>40</v>
      </c>
      <c r="J225" s="592">
        <f t="shared" si="31"/>
        <v>100</v>
      </c>
      <c r="K225" s="600">
        <f t="shared" si="29"/>
        <v>0</v>
      </c>
      <c r="L225" s="592"/>
      <c r="M225" s="592"/>
      <c r="N225" s="600">
        <f t="shared" si="30"/>
        <v>0</v>
      </c>
      <c r="O225" s="592"/>
      <c r="P225" s="592"/>
      <c r="Q225" s="600">
        <f t="shared" si="28"/>
        <v>0</v>
      </c>
    </row>
    <row r="226" spans="3:17" ht="17.25">
      <c r="C226" s="561">
        <v>51</v>
      </c>
      <c r="D226" s="137" t="s">
        <v>570</v>
      </c>
      <c r="E226" s="148"/>
      <c r="F226" s="138" t="s">
        <v>445</v>
      </c>
      <c r="G226" s="154">
        <v>2</v>
      </c>
      <c r="H226" s="137">
        <v>2008</v>
      </c>
      <c r="I226" s="135">
        <v>20</v>
      </c>
      <c r="J226" s="592">
        <f t="shared" si="31"/>
        <v>100</v>
      </c>
      <c r="K226" s="600">
        <f t="shared" si="29"/>
        <v>0</v>
      </c>
      <c r="L226" s="592"/>
      <c r="M226" s="592"/>
      <c r="N226" s="600">
        <f t="shared" si="30"/>
        <v>0</v>
      </c>
      <c r="O226" s="592"/>
      <c r="P226" s="592"/>
      <c r="Q226" s="600">
        <f t="shared" si="28"/>
        <v>0</v>
      </c>
    </row>
    <row r="227" spans="3:17" ht="17.25">
      <c r="C227" s="561">
        <v>52</v>
      </c>
      <c r="D227" s="137" t="s">
        <v>553</v>
      </c>
      <c r="E227" s="148"/>
      <c r="F227" s="138" t="s">
        <v>445</v>
      </c>
      <c r="G227" s="154">
        <v>1</v>
      </c>
      <c r="H227" s="137">
        <v>2006</v>
      </c>
      <c r="I227" s="135">
        <v>10</v>
      </c>
      <c r="J227" s="592">
        <f t="shared" si="31"/>
        <v>100</v>
      </c>
      <c r="K227" s="600">
        <f t="shared" si="29"/>
        <v>0</v>
      </c>
      <c r="L227" s="592"/>
      <c r="M227" s="592"/>
      <c r="N227" s="600">
        <f t="shared" si="30"/>
        <v>0</v>
      </c>
      <c r="O227" s="592"/>
      <c r="P227" s="592"/>
      <c r="Q227" s="600">
        <f t="shared" si="28"/>
        <v>0</v>
      </c>
    </row>
    <row r="228" spans="3:17" ht="17.25">
      <c r="C228" s="561">
        <v>53</v>
      </c>
      <c r="D228" s="137" t="s">
        <v>533</v>
      </c>
      <c r="E228" s="148"/>
      <c r="F228" s="138" t="s">
        <v>445</v>
      </c>
      <c r="G228" s="154">
        <v>8</v>
      </c>
      <c r="H228" s="137">
        <v>2004</v>
      </c>
      <c r="I228" s="135">
        <v>80</v>
      </c>
      <c r="J228" s="592">
        <f t="shared" si="31"/>
        <v>100</v>
      </c>
      <c r="K228" s="600">
        <f t="shared" si="29"/>
        <v>0</v>
      </c>
      <c r="L228" s="592"/>
      <c r="M228" s="592"/>
      <c r="N228" s="600">
        <f t="shared" si="30"/>
        <v>0</v>
      </c>
      <c r="O228" s="592"/>
      <c r="P228" s="592"/>
      <c r="Q228" s="600">
        <f t="shared" si="28"/>
        <v>0</v>
      </c>
    </row>
    <row r="229" spans="3:17" ht="17.25">
      <c r="C229" s="561">
        <v>54</v>
      </c>
      <c r="D229" s="137" t="s">
        <v>533</v>
      </c>
      <c r="E229" s="148"/>
      <c r="F229" s="138" t="s">
        <v>445</v>
      </c>
      <c r="G229" s="154">
        <v>7</v>
      </c>
      <c r="H229" s="137">
        <v>2003</v>
      </c>
      <c r="I229" s="135">
        <v>70</v>
      </c>
      <c r="J229" s="592">
        <f t="shared" si="31"/>
        <v>100</v>
      </c>
      <c r="K229" s="600">
        <f t="shared" si="26"/>
        <v>0</v>
      </c>
      <c r="L229" s="592"/>
      <c r="M229" s="592"/>
      <c r="N229" s="600">
        <f t="shared" si="30"/>
        <v>0</v>
      </c>
      <c r="O229" s="592"/>
      <c r="P229" s="592"/>
      <c r="Q229" s="600">
        <f t="shared" si="28"/>
        <v>0</v>
      </c>
    </row>
    <row r="230" spans="3:17" ht="17.25">
      <c r="C230" s="561">
        <v>55</v>
      </c>
      <c r="D230" s="137" t="s">
        <v>571</v>
      </c>
      <c r="E230" s="148"/>
      <c r="F230" s="138" t="s">
        <v>445</v>
      </c>
      <c r="G230" s="154">
        <v>1</v>
      </c>
      <c r="H230" s="137">
        <v>2004</v>
      </c>
      <c r="I230" s="135">
        <v>10</v>
      </c>
      <c r="J230" s="592">
        <f t="shared" si="31"/>
        <v>100</v>
      </c>
      <c r="K230" s="600">
        <f t="shared" si="26"/>
        <v>0</v>
      </c>
      <c r="L230" s="592"/>
      <c r="M230" s="592"/>
      <c r="N230" s="600">
        <f t="shared" si="30"/>
        <v>0</v>
      </c>
      <c r="O230" s="592"/>
      <c r="P230" s="592"/>
      <c r="Q230" s="600">
        <f t="shared" si="28"/>
        <v>0</v>
      </c>
    </row>
    <row r="231" spans="3:17" ht="17.25">
      <c r="C231" s="561">
        <v>56</v>
      </c>
      <c r="D231" s="137" t="s">
        <v>564</v>
      </c>
      <c r="E231" s="148"/>
      <c r="F231" s="138" t="s">
        <v>445</v>
      </c>
      <c r="G231" s="154">
        <v>3</v>
      </c>
      <c r="H231" s="137">
        <v>2005</v>
      </c>
      <c r="I231" s="135">
        <v>30</v>
      </c>
      <c r="J231" s="592">
        <f t="shared" si="31"/>
        <v>100</v>
      </c>
      <c r="K231" s="600">
        <f t="shared" si="26"/>
        <v>0</v>
      </c>
      <c r="L231" s="592"/>
      <c r="M231" s="592"/>
      <c r="N231" s="600">
        <f t="shared" si="27"/>
        <v>0</v>
      </c>
      <c r="O231" s="592"/>
      <c r="P231" s="592"/>
      <c r="Q231" s="600">
        <f t="shared" si="28"/>
        <v>0</v>
      </c>
    </row>
    <row r="232" spans="3:17" ht="17.25">
      <c r="C232" s="561">
        <v>57</v>
      </c>
      <c r="D232" s="137" t="s">
        <v>572</v>
      </c>
      <c r="E232" s="148"/>
      <c r="F232" s="138" t="s">
        <v>445</v>
      </c>
      <c r="G232" s="154">
        <v>3</v>
      </c>
      <c r="H232" s="137">
        <v>2000</v>
      </c>
      <c r="I232" s="135">
        <v>30</v>
      </c>
      <c r="J232" s="592">
        <f t="shared" si="31"/>
        <v>100</v>
      </c>
      <c r="K232" s="600">
        <f t="shared" si="26"/>
        <v>0</v>
      </c>
      <c r="L232" s="592"/>
      <c r="M232" s="592"/>
      <c r="N232" s="600">
        <f t="shared" si="27"/>
        <v>0</v>
      </c>
      <c r="O232" s="592"/>
      <c r="P232" s="592"/>
      <c r="Q232" s="600">
        <f t="shared" si="28"/>
        <v>0</v>
      </c>
    </row>
    <row r="233" spans="3:17" ht="17.25">
      <c r="C233" s="561">
        <v>58</v>
      </c>
      <c r="D233" s="137" t="s">
        <v>568</v>
      </c>
      <c r="E233" s="148"/>
      <c r="F233" s="138" t="s">
        <v>445</v>
      </c>
      <c r="G233" s="154">
        <v>6</v>
      </c>
      <c r="H233" s="137">
        <v>2000</v>
      </c>
      <c r="I233" s="135">
        <v>60</v>
      </c>
      <c r="J233" s="592">
        <f t="shared" si="31"/>
        <v>100</v>
      </c>
      <c r="K233" s="600">
        <f t="shared" si="26"/>
        <v>0</v>
      </c>
      <c r="L233" s="592"/>
      <c r="M233" s="592"/>
      <c r="N233" s="600">
        <f t="shared" si="27"/>
        <v>0</v>
      </c>
      <c r="O233" s="592"/>
      <c r="P233" s="592"/>
      <c r="Q233" s="600">
        <f t="shared" si="28"/>
        <v>0</v>
      </c>
    </row>
    <row r="234" spans="3:17" ht="17.25">
      <c r="C234" s="561">
        <v>59</v>
      </c>
      <c r="D234" s="137" t="s">
        <v>573</v>
      </c>
      <c r="E234" s="148"/>
      <c r="F234" s="138" t="s">
        <v>445</v>
      </c>
      <c r="G234" s="154">
        <v>3</v>
      </c>
      <c r="H234" s="137">
        <v>2000</v>
      </c>
      <c r="I234" s="135">
        <v>30</v>
      </c>
      <c r="J234" s="592">
        <f t="shared" si="31"/>
        <v>100</v>
      </c>
      <c r="K234" s="600">
        <f t="shared" si="26"/>
        <v>0</v>
      </c>
      <c r="L234" s="592"/>
      <c r="M234" s="592"/>
      <c r="N234" s="600">
        <f t="shared" si="27"/>
        <v>0</v>
      </c>
      <c r="O234" s="592"/>
      <c r="P234" s="592"/>
      <c r="Q234" s="600">
        <f t="shared" si="28"/>
        <v>0</v>
      </c>
    </row>
    <row r="235" spans="3:17" ht="17.25">
      <c r="C235" s="561">
        <v>60</v>
      </c>
      <c r="D235" s="137" t="s">
        <v>574</v>
      </c>
      <c r="E235" s="148"/>
      <c r="F235" s="138" t="s">
        <v>445</v>
      </c>
      <c r="G235" s="154">
        <v>3</v>
      </c>
      <c r="H235" s="137">
        <v>2001</v>
      </c>
      <c r="I235" s="135">
        <v>30</v>
      </c>
      <c r="J235" s="592">
        <f t="shared" si="31"/>
        <v>100</v>
      </c>
      <c r="K235" s="600">
        <f t="shared" si="26"/>
        <v>0</v>
      </c>
      <c r="L235" s="592"/>
      <c r="M235" s="592"/>
      <c r="N235" s="600">
        <f t="shared" si="27"/>
        <v>0</v>
      </c>
      <c r="O235" s="592"/>
      <c r="P235" s="592"/>
      <c r="Q235" s="600">
        <f t="shared" si="28"/>
        <v>0</v>
      </c>
    </row>
    <row r="236" spans="3:17" ht="17.25">
      <c r="C236" s="561">
        <v>61</v>
      </c>
      <c r="D236" s="137" t="s">
        <v>575</v>
      </c>
      <c r="E236" s="148"/>
      <c r="F236" s="138" t="s">
        <v>445</v>
      </c>
      <c r="G236" s="154">
        <v>1</v>
      </c>
      <c r="H236" s="137">
        <v>2008</v>
      </c>
      <c r="I236" s="135">
        <v>12.8</v>
      </c>
      <c r="J236" s="592">
        <f t="shared" si="31"/>
        <v>100</v>
      </c>
      <c r="K236" s="600">
        <f t="shared" si="26"/>
        <v>0</v>
      </c>
      <c r="L236" s="592"/>
      <c r="M236" s="592"/>
      <c r="N236" s="600">
        <f t="shared" si="27"/>
        <v>0</v>
      </c>
      <c r="O236" s="592"/>
      <c r="P236" s="592"/>
      <c r="Q236" s="600">
        <f t="shared" si="28"/>
        <v>0</v>
      </c>
    </row>
    <row r="237" spans="3:17" ht="17.25">
      <c r="C237" s="561">
        <v>62</v>
      </c>
      <c r="D237" s="137" t="s">
        <v>543</v>
      </c>
      <c r="E237" s="148"/>
      <c r="F237" s="138" t="s">
        <v>445</v>
      </c>
      <c r="G237" s="154">
        <v>11</v>
      </c>
      <c r="H237" s="137">
        <v>2004</v>
      </c>
      <c r="I237" s="135">
        <v>165</v>
      </c>
      <c r="J237" s="592">
        <f t="shared" si="31"/>
        <v>100</v>
      </c>
      <c r="K237" s="600">
        <f t="shared" si="26"/>
        <v>0</v>
      </c>
      <c r="L237" s="592"/>
      <c r="M237" s="592"/>
      <c r="N237" s="600">
        <f t="shared" si="27"/>
        <v>0</v>
      </c>
      <c r="O237" s="592"/>
      <c r="P237" s="592"/>
      <c r="Q237" s="600">
        <f t="shared" si="28"/>
        <v>0</v>
      </c>
    </row>
    <row r="238" spans="3:17" ht="17.25">
      <c r="C238" s="561">
        <v>63</v>
      </c>
      <c r="D238" s="137" t="s">
        <v>543</v>
      </c>
      <c r="E238" s="148"/>
      <c r="F238" s="138" t="s">
        <v>445</v>
      </c>
      <c r="G238" s="154">
        <v>7</v>
      </c>
      <c r="H238" s="137">
        <v>2003</v>
      </c>
      <c r="I238" s="135">
        <v>105</v>
      </c>
      <c r="J238" s="592">
        <f t="shared" si="31"/>
        <v>100</v>
      </c>
      <c r="K238" s="600">
        <f t="shared" si="26"/>
        <v>0</v>
      </c>
      <c r="L238" s="592"/>
      <c r="M238" s="592"/>
      <c r="N238" s="600">
        <f t="shared" si="27"/>
        <v>0</v>
      </c>
      <c r="O238" s="592"/>
      <c r="P238" s="592"/>
      <c r="Q238" s="600">
        <f t="shared" si="28"/>
        <v>0</v>
      </c>
    </row>
    <row r="239" spans="3:17" ht="17.25">
      <c r="C239" s="561">
        <v>64</v>
      </c>
      <c r="D239" s="137" t="s">
        <v>543</v>
      </c>
      <c r="E239" s="148"/>
      <c r="F239" s="138" t="s">
        <v>445</v>
      </c>
      <c r="G239" s="154">
        <v>1</v>
      </c>
      <c r="H239" s="137">
        <v>2006</v>
      </c>
      <c r="I239" s="135">
        <v>15</v>
      </c>
      <c r="J239" s="592">
        <f t="shared" si="31"/>
        <v>100</v>
      </c>
      <c r="K239" s="600">
        <f t="shared" si="26"/>
        <v>0</v>
      </c>
      <c r="L239" s="628"/>
      <c r="M239" s="606"/>
      <c r="N239" s="600">
        <f t="shared" si="27"/>
        <v>0</v>
      </c>
      <c r="O239" s="628"/>
      <c r="P239" s="605"/>
      <c r="Q239" s="600">
        <f t="shared" si="28"/>
        <v>0</v>
      </c>
    </row>
    <row r="240" spans="3:17" ht="17.25">
      <c r="C240" s="561">
        <v>65</v>
      </c>
      <c r="D240" s="137" t="s">
        <v>576</v>
      </c>
      <c r="E240" s="148"/>
      <c r="F240" s="138" t="s">
        <v>445</v>
      </c>
      <c r="G240" s="154">
        <v>3</v>
      </c>
      <c r="H240" s="137">
        <v>2001</v>
      </c>
      <c r="I240" s="135">
        <v>45</v>
      </c>
      <c r="J240" s="592">
        <f aca="true" t="shared" si="32" ref="J240:J271">IF(($J$14-H240)*J$175&gt;100,100,($J$14-H240)*J$175)</f>
        <v>100</v>
      </c>
      <c r="K240" s="600">
        <f t="shared" si="26"/>
        <v>0</v>
      </c>
      <c r="L240" s="592"/>
      <c r="M240" s="592"/>
      <c r="N240" s="600">
        <f t="shared" si="27"/>
        <v>0</v>
      </c>
      <c r="O240" s="592"/>
      <c r="P240" s="592"/>
      <c r="Q240" s="600">
        <f t="shared" si="28"/>
        <v>0</v>
      </c>
    </row>
    <row r="241" spans="3:17" ht="17.25">
      <c r="C241" s="561">
        <v>66</v>
      </c>
      <c r="D241" s="137" t="s">
        <v>577</v>
      </c>
      <c r="E241" s="148"/>
      <c r="F241" s="138" t="s">
        <v>445</v>
      </c>
      <c r="G241" s="154">
        <v>1</v>
      </c>
      <c r="H241" s="137">
        <v>2005</v>
      </c>
      <c r="I241" s="135">
        <v>15</v>
      </c>
      <c r="J241" s="592">
        <f t="shared" si="32"/>
        <v>100</v>
      </c>
      <c r="K241" s="600">
        <f t="shared" si="26"/>
        <v>0</v>
      </c>
      <c r="L241" s="592"/>
      <c r="M241" s="592"/>
      <c r="N241" s="600">
        <f t="shared" si="27"/>
        <v>0</v>
      </c>
      <c r="O241" s="592"/>
      <c r="P241" s="592"/>
      <c r="Q241" s="600">
        <f t="shared" si="28"/>
        <v>0</v>
      </c>
    </row>
    <row r="242" spans="3:17" ht="17.25">
      <c r="C242" s="561">
        <v>67</v>
      </c>
      <c r="D242" s="137" t="s">
        <v>578</v>
      </c>
      <c r="E242" s="148"/>
      <c r="F242" s="138" t="s">
        <v>445</v>
      </c>
      <c r="G242" s="154">
        <v>2</v>
      </c>
      <c r="H242" s="137">
        <v>2003</v>
      </c>
      <c r="I242" s="135">
        <v>30</v>
      </c>
      <c r="J242" s="592">
        <f t="shared" si="32"/>
        <v>100</v>
      </c>
      <c r="K242" s="600">
        <f t="shared" si="26"/>
        <v>0</v>
      </c>
      <c r="L242" s="592"/>
      <c r="M242" s="592"/>
      <c r="N242" s="600">
        <f t="shared" si="27"/>
        <v>0</v>
      </c>
      <c r="O242" s="592"/>
      <c r="P242" s="592"/>
      <c r="Q242" s="600">
        <f t="shared" si="28"/>
        <v>0</v>
      </c>
    </row>
    <row r="243" spans="3:17" ht="17.25">
      <c r="C243" s="561">
        <v>68</v>
      </c>
      <c r="D243" s="137" t="s">
        <v>579</v>
      </c>
      <c r="E243" s="148"/>
      <c r="F243" s="138" t="s">
        <v>445</v>
      </c>
      <c r="G243" s="154">
        <v>4</v>
      </c>
      <c r="H243" s="137">
        <v>2002</v>
      </c>
      <c r="I243" s="135">
        <v>60</v>
      </c>
      <c r="J243" s="592">
        <f t="shared" si="32"/>
        <v>100</v>
      </c>
      <c r="K243" s="600">
        <f t="shared" si="26"/>
        <v>0</v>
      </c>
      <c r="L243" s="592"/>
      <c r="M243" s="592"/>
      <c r="N243" s="600">
        <f t="shared" si="27"/>
        <v>0</v>
      </c>
      <c r="O243" s="592"/>
      <c r="P243" s="592"/>
      <c r="Q243" s="600">
        <f aca="true" t="shared" si="33" ref="Q243:Q284">+O243*P243</f>
        <v>0</v>
      </c>
    </row>
    <row r="244" spans="3:17" ht="17.25">
      <c r="C244" s="561">
        <v>69</v>
      </c>
      <c r="D244" s="137" t="s">
        <v>564</v>
      </c>
      <c r="E244" s="148"/>
      <c r="F244" s="138" t="s">
        <v>445</v>
      </c>
      <c r="G244" s="154">
        <v>1</v>
      </c>
      <c r="H244" s="137">
        <v>2006</v>
      </c>
      <c r="I244" s="135">
        <v>15</v>
      </c>
      <c r="J244" s="592">
        <f t="shared" si="32"/>
        <v>100</v>
      </c>
      <c r="K244" s="600">
        <f t="shared" si="26"/>
        <v>0</v>
      </c>
      <c r="L244" s="592"/>
      <c r="M244" s="592"/>
      <c r="N244" s="600">
        <f t="shared" si="27"/>
        <v>0</v>
      </c>
      <c r="O244" s="592"/>
      <c r="P244" s="592"/>
      <c r="Q244" s="600">
        <f t="shared" si="33"/>
        <v>0</v>
      </c>
    </row>
    <row r="245" spans="3:17" ht="17.25">
      <c r="C245" s="561">
        <v>70</v>
      </c>
      <c r="D245" s="137" t="s">
        <v>580</v>
      </c>
      <c r="E245" s="148"/>
      <c r="F245" s="138" t="s">
        <v>445</v>
      </c>
      <c r="G245" s="154">
        <v>6</v>
      </c>
      <c r="H245" s="137">
        <v>2000</v>
      </c>
      <c r="I245" s="135">
        <v>90</v>
      </c>
      <c r="J245" s="592">
        <f t="shared" si="32"/>
        <v>100</v>
      </c>
      <c r="K245" s="600">
        <f t="shared" si="26"/>
        <v>0</v>
      </c>
      <c r="L245" s="592"/>
      <c r="M245" s="592"/>
      <c r="N245" s="600">
        <f t="shared" si="27"/>
        <v>0</v>
      </c>
      <c r="O245" s="592"/>
      <c r="P245" s="592"/>
      <c r="Q245" s="600">
        <f t="shared" si="33"/>
        <v>0</v>
      </c>
    </row>
    <row r="246" spans="3:17" ht="17.25">
      <c r="C246" s="561">
        <v>71</v>
      </c>
      <c r="D246" s="137" t="s">
        <v>581</v>
      </c>
      <c r="E246" s="148"/>
      <c r="F246" s="138" t="s">
        <v>445</v>
      </c>
      <c r="G246" s="154">
        <v>1</v>
      </c>
      <c r="H246" s="137">
        <v>2002</v>
      </c>
      <c r="I246" s="135">
        <v>15</v>
      </c>
      <c r="J246" s="592">
        <f t="shared" si="32"/>
        <v>100</v>
      </c>
      <c r="K246" s="600">
        <f t="shared" si="26"/>
        <v>0</v>
      </c>
      <c r="L246" s="592"/>
      <c r="M246" s="592"/>
      <c r="N246" s="600">
        <f t="shared" si="27"/>
        <v>0</v>
      </c>
      <c r="O246" s="592"/>
      <c r="P246" s="592"/>
      <c r="Q246" s="600">
        <f t="shared" si="33"/>
        <v>0</v>
      </c>
    </row>
    <row r="247" spans="3:17" ht="17.25">
      <c r="C247" s="561">
        <v>72</v>
      </c>
      <c r="D247" s="137" t="s">
        <v>582</v>
      </c>
      <c r="E247" s="148"/>
      <c r="F247" s="138" t="s">
        <v>445</v>
      </c>
      <c r="G247" s="154">
        <v>1</v>
      </c>
      <c r="H247" s="137">
        <v>2000</v>
      </c>
      <c r="I247" s="135">
        <v>15</v>
      </c>
      <c r="J247" s="592">
        <f t="shared" si="32"/>
        <v>100</v>
      </c>
      <c r="K247" s="600">
        <f t="shared" si="26"/>
        <v>0</v>
      </c>
      <c r="L247" s="592"/>
      <c r="M247" s="592"/>
      <c r="N247" s="600">
        <f t="shared" si="27"/>
        <v>0</v>
      </c>
      <c r="O247" s="592"/>
      <c r="P247" s="592"/>
      <c r="Q247" s="600">
        <f t="shared" si="33"/>
        <v>0</v>
      </c>
    </row>
    <row r="248" spans="3:17" ht="17.25">
      <c r="C248" s="561">
        <v>73</v>
      </c>
      <c r="D248" s="137" t="s">
        <v>583</v>
      </c>
      <c r="E248" s="148"/>
      <c r="F248" s="138" t="s">
        <v>445</v>
      </c>
      <c r="G248" s="154">
        <v>1</v>
      </c>
      <c r="H248" s="137">
        <v>2000</v>
      </c>
      <c r="I248" s="135">
        <v>15</v>
      </c>
      <c r="J248" s="592">
        <f t="shared" si="32"/>
        <v>100</v>
      </c>
      <c r="K248" s="600">
        <f t="shared" si="26"/>
        <v>0</v>
      </c>
      <c r="L248" s="592"/>
      <c r="M248" s="592"/>
      <c r="N248" s="600">
        <f t="shared" si="27"/>
        <v>0</v>
      </c>
      <c r="O248" s="592"/>
      <c r="P248" s="592"/>
      <c r="Q248" s="600">
        <f t="shared" si="33"/>
        <v>0</v>
      </c>
    </row>
    <row r="249" spans="3:17" ht="17.25">
      <c r="C249" s="561">
        <v>74</v>
      </c>
      <c r="D249" s="137" t="s">
        <v>543</v>
      </c>
      <c r="E249" s="148"/>
      <c r="F249" s="138" t="s">
        <v>445</v>
      </c>
      <c r="G249" s="154">
        <v>1</v>
      </c>
      <c r="H249" s="137">
        <v>2006</v>
      </c>
      <c r="I249" s="135">
        <v>20</v>
      </c>
      <c r="J249" s="592">
        <f t="shared" si="32"/>
        <v>100</v>
      </c>
      <c r="K249" s="600">
        <f t="shared" si="26"/>
        <v>0</v>
      </c>
      <c r="L249" s="592"/>
      <c r="M249" s="592"/>
      <c r="N249" s="600">
        <f t="shared" si="27"/>
        <v>0</v>
      </c>
      <c r="O249" s="592"/>
      <c r="P249" s="592"/>
      <c r="Q249" s="600">
        <f t="shared" si="33"/>
        <v>0</v>
      </c>
    </row>
    <row r="250" spans="3:17" ht="17.25">
      <c r="C250" s="561">
        <v>75</v>
      </c>
      <c r="D250" s="137" t="s">
        <v>584</v>
      </c>
      <c r="E250" s="148"/>
      <c r="F250" s="138" t="s">
        <v>445</v>
      </c>
      <c r="G250" s="154">
        <v>1</v>
      </c>
      <c r="H250" s="137">
        <v>2001</v>
      </c>
      <c r="I250" s="135">
        <v>20</v>
      </c>
      <c r="J250" s="592">
        <f t="shared" si="32"/>
        <v>100</v>
      </c>
      <c r="K250" s="600">
        <f t="shared" si="26"/>
        <v>0</v>
      </c>
      <c r="L250" s="592"/>
      <c r="M250" s="592"/>
      <c r="N250" s="600">
        <f t="shared" si="27"/>
        <v>0</v>
      </c>
      <c r="O250" s="592"/>
      <c r="P250" s="592"/>
      <c r="Q250" s="600">
        <f t="shared" si="33"/>
        <v>0</v>
      </c>
    </row>
    <row r="251" spans="3:17" ht="17.25">
      <c r="C251" s="561">
        <v>76</v>
      </c>
      <c r="D251" s="137" t="s">
        <v>569</v>
      </c>
      <c r="E251" s="148"/>
      <c r="F251" s="138" t="s">
        <v>445</v>
      </c>
      <c r="G251" s="154">
        <v>10</v>
      </c>
      <c r="H251" s="137">
        <v>2003</v>
      </c>
      <c r="I251" s="135">
        <v>200</v>
      </c>
      <c r="J251" s="592">
        <f t="shared" si="32"/>
        <v>100</v>
      </c>
      <c r="K251" s="600">
        <f t="shared" si="26"/>
        <v>0</v>
      </c>
      <c r="L251" s="592"/>
      <c r="M251" s="592"/>
      <c r="N251" s="600">
        <f t="shared" si="27"/>
        <v>0</v>
      </c>
      <c r="O251" s="592"/>
      <c r="P251" s="592"/>
      <c r="Q251" s="600">
        <f t="shared" si="33"/>
        <v>0</v>
      </c>
    </row>
    <row r="252" spans="3:17" ht="17.25">
      <c r="C252" s="561">
        <v>77</v>
      </c>
      <c r="D252" s="137" t="s">
        <v>571</v>
      </c>
      <c r="E252" s="148"/>
      <c r="F252" s="138" t="s">
        <v>445</v>
      </c>
      <c r="G252" s="154">
        <v>2</v>
      </c>
      <c r="H252" s="137">
        <v>2005</v>
      </c>
      <c r="I252" s="135">
        <v>40</v>
      </c>
      <c r="J252" s="592">
        <f t="shared" si="32"/>
        <v>100</v>
      </c>
      <c r="K252" s="600">
        <f t="shared" si="26"/>
        <v>0</v>
      </c>
      <c r="L252" s="592"/>
      <c r="M252" s="592"/>
      <c r="N252" s="600">
        <f t="shared" si="27"/>
        <v>0</v>
      </c>
      <c r="O252" s="592"/>
      <c r="P252" s="592"/>
      <c r="Q252" s="600">
        <f t="shared" si="33"/>
        <v>0</v>
      </c>
    </row>
    <row r="253" spans="3:17" ht="17.25">
      <c r="C253" s="561">
        <v>78</v>
      </c>
      <c r="D253" s="137" t="s">
        <v>566</v>
      </c>
      <c r="E253" s="148"/>
      <c r="F253" s="138" t="s">
        <v>445</v>
      </c>
      <c r="G253" s="154">
        <v>1</v>
      </c>
      <c r="H253" s="137">
        <v>2006</v>
      </c>
      <c r="I253" s="135">
        <v>20</v>
      </c>
      <c r="J253" s="592">
        <f t="shared" si="32"/>
        <v>100</v>
      </c>
      <c r="K253" s="600">
        <f t="shared" si="26"/>
        <v>0</v>
      </c>
      <c r="L253" s="592"/>
      <c r="M253" s="592"/>
      <c r="N253" s="600">
        <f t="shared" si="27"/>
        <v>0</v>
      </c>
      <c r="O253" s="592"/>
      <c r="P253" s="592"/>
      <c r="Q253" s="600">
        <f t="shared" si="33"/>
        <v>0</v>
      </c>
    </row>
    <row r="254" spans="3:17" ht="17.25">
      <c r="C254" s="561">
        <v>79</v>
      </c>
      <c r="D254" s="137" t="s">
        <v>564</v>
      </c>
      <c r="E254" s="148"/>
      <c r="F254" s="138" t="s">
        <v>445</v>
      </c>
      <c r="G254" s="154">
        <v>1</v>
      </c>
      <c r="H254" s="137">
        <v>2006</v>
      </c>
      <c r="I254" s="135">
        <v>20</v>
      </c>
      <c r="J254" s="592">
        <f t="shared" si="32"/>
        <v>100</v>
      </c>
      <c r="K254" s="600">
        <f t="shared" si="26"/>
        <v>0</v>
      </c>
      <c r="L254" s="592"/>
      <c r="M254" s="592"/>
      <c r="N254" s="600">
        <f t="shared" si="27"/>
        <v>0</v>
      </c>
      <c r="O254" s="592"/>
      <c r="P254" s="592"/>
      <c r="Q254" s="600">
        <f t="shared" si="33"/>
        <v>0</v>
      </c>
    </row>
    <row r="255" spans="3:17" ht="17.25">
      <c r="C255" s="561">
        <v>80</v>
      </c>
      <c r="D255" s="137" t="s">
        <v>585</v>
      </c>
      <c r="E255" s="148"/>
      <c r="F255" s="138" t="s">
        <v>445</v>
      </c>
      <c r="G255" s="154">
        <v>50</v>
      </c>
      <c r="H255" s="137">
        <v>2018</v>
      </c>
      <c r="I255" s="135">
        <v>1249.995</v>
      </c>
      <c r="J255" s="592">
        <f t="shared" si="32"/>
        <v>70</v>
      </c>
      <c r="K255" s="600">
        <f t="shared" si="26"/>
        <v>374.99850000000004</v>
      </c>
      <c r="L255" s="592"/>
      <c r="M255" s="592"/>
      <c r="N255" s="600">
        <f t="shared" si="27"/>
        <v>0</v>
      </c>
      <c r="O255" s="592"/>
      <c r="P255" s="592"/>
      <c r="Q255" s="600">
        <f t="shared" si="33"/>
        <v>0</v>
      </c>
    </row>
    <row r="256" spans="3:17" ht="17.25">
      <c r="C256" s="561">
        <v>81</v>
      </c>
      <c r="D256" s="137" t="s">
        <v>585</v>
      </c>
      <c r="E256" s="148"/>
      <c r="F256" s="138" t="s">
        <v>445</v>
      </c>
      <c r="G256" s="154">
        <v>8</v>
      </c>
      <c r="H256" s="137">
        <v>2020</v>
      </c>
      <c r="I256" s="135">
        <v>204</v>
      </c>
      <c r="J256" s="592">
        <f t="shared" si="32"/>
        <v>50</v>
      </c>
      <c r="K256" s="600">
        <f t="shared" si="26"/>
        <v>102</v>
      </c>
      <c r="L256" s="592"/>
      <c r="M256" s="592"/>
      <c r="N256" s="600">
        <f t="shared" si="27"/>
        <v>0</v>
      </c>
      <c r="O256" s="592"/>
      <c r="P256" s="592"/>
      <c r="Q256" s="600">
        <f t="shared" si="33"/>
        <v>0</v>
      </c>
    </row>
    <row r="257" spans="3:17" ht="17.25">
      <c r="C257" s="561">
        <v>82</v>
      </c>
      <c r="D257" s="137" t="s">
        <v>586</v>
      </c>
      <c r="E257" s="148"/>
      <c r="F257" s="138" t="s">
        <v>445</v>
      </c>
      <c r="G257" s="154">
        <v>2</v>
      </c>
      <c r="H257" s="137">
        <v>2013</v>
      </c>
      <c r="I257" s="135">
        <v>57.353919999999995</v>
      </c>
      <c r="J257" s="592">
        <f t="shared" si="32"/>
        <v>100</v>
      </c>
      <c r="K257" s="600">
        <f t="shared" si="26"/>
        <v>0</v>
      </c>
      <c r="L257" s="592"/>
      <c r="M257" s="592"/>
      <c r="N257" s="600">
        <f t="shared" si="27"/>
        <v>0</v>
      </c>
      <c r="O257" s="592"/>
      <c r="P257" s="592"/>
      <c r="Q257" s="600">
        <f t="shared" si="33"/>
        <v>0</v>
      </c>
    </row>
    <row r="258" spans="3:17" ht="17.25">
      <c r="C258" s="561">
        <v>83</v>
      </c>
      <c r="D258" s="137" t="s">
        <v>587</v>
      </c>
      <c r="E258" s="148"/>
      <c r="F258" s="138" t="s">
        <v>445</v>
      </c>
      <c r="G258" s="154">
        <v>1</v>
      </c>
      <c r="H258" s="137">
        <v>2003</v>
      </c>
      <c r="I258" s="135">
        <v>30</v>
      </c>
      <c r="J258" s="592">
        <f t="shared" si="32"/>
        <v>100</v>
      </c>
      <c r="K258" s="600">
        <f t="shared" si="26"/>
        <v>0</v>
      </c>
      <c r="L258" s="592"/>
      <c r="M258" s="592"/>
      <c r="N258" s="600">
        <f t="shared" si="27"/>
        <v>0</v>
      </c>
      <c r="O258" s="592"/>
      <c r="P258" s="592"/>
      <c r="Q258" s="600">
        <f t="shared" si="33"/>
        <v>0</v>
      </c>
    </row>
    <row r="259" spans="3:17" ht="17.25">
      <c r="C259" s="561">
        <v>84</v>
      </c>
      <c r="D259" s="137" t="s">
        <v>562</v>
      </c>
      <c r="E259" s="148"/>
      <c r="F259" s="138" t="s">
        <v>445</v>
      </c>
      <c r="G259" s="154">
        <v>10</v>
      </c>
      <c r="H259" s="137">
        <v>2018</v>
      </c>
      <c r="I259" s="135">
        <v>330</v>
      </c>
      <c r="J259" s="592">
        <f t="shared" si="32"/>
        <v>70</v>
      </c>
      <c r="K259" s="600">
        <f t="shared" si="26"/>
        <v>99.00000000000003</v>
      </c>
      <c r="L259" s="592"/>
      <c r="M259" s="592"/>
      <c r="N259" s="600">
        <f t="shared" si="27"/>
        <v>0</v>
      </c>
      <c r="O259" s="592"/>
      <c r="P259" s="592"/>
      <c r="Q259" s="600">
        <f t="shared" si="33"/>
        <v>0</v>
      </c>
    </row>
    <row r="260" spans="3:17" ht="17.25">
      <c r="C260" s="561">
        <v>85</v>
      </c>
      <c r="D260" s="137" t="s">
        <v>588</v>
      </c>
      <c r="E260" s="148"/>
      <c r="F260" s="138" t="s">
        <v>445</v>
      </c>
      <c r="G260" s="154">
        <v>2</v>
      </c>
      <c r="H260" s="137">
        <v>2018</v>
      </c>
      <c r="I260" s="135">
        <v>66</v>
      </c>
      <c r="J260" s="592">
        <f t="shared" si="32"/>
        <v>70</v>
      </c>
      <c r="K260" s="600">
        <f t="shared" si="26"/>
        <v>19.800000000000004</v>
      </c>
      <c r="L260" s="592"/>
      <c r="M260" s="592"/>
      <c r="N260" s="600">
        <f t="shared" si="27"/>
        <v>0</v>
      </c>
      <c r="O260" s="592"/>
      <c r="P260" s="592"/>
      <c r="Q260" s="600">
        <f t="shared" si="33"/>
        <v>0</v>
      </c>
    </row>
    <row r="261" spans="3:17" ht="17.25">
      <c r="C261" s="561">
        <v>86</v>
      </c>
      <c r="D261" s="137" t="s">
        <v>589</v>
      </c>
      <c r="E261" s="148"/>
      <c r="F261" s="138" t="s">
        <v>445</v>
      </c>
      <c r="G261" s="154">
        <v>6</v>
      </c>
      <c r="H261" s="137">
        <v>2018</v>
      </c>
      <c r="I261" s="135">
        <v>237</v>
      </c>
      <c r="J261" s="592">
        <f t="shared" si="32"/>
        <v>70</v>
      </c>
      <c r="K261" s="600">
        <f t="shared" si="26"/>
        <v>71.10000000000002</v>
      </c>
      <c r="L261" s="592"/>
      <c r="M261" s="592"/>
      <c r="N261" s="600">
        <f t="shared" si="27"/>
        <v>0</v>
      </c>
      <c r="O261" s="592"/>
      <c r="P261" s="592"/>
      <c r="Q261" s="600">
        <f t="shared" si="33"/>
        <v>0</v>
      </c>
    </row>
    <row r="262" spans="3:17" ht="17.25">
      <c r="C262" s="561">
        <v>87</v>
      </c>
      <c r="D262" s="137" t="s">
        <v>579</v>
      </c>
      <c r="E262" s="148"/>
      <c r="F262" s="138" t="s">
        <v>445</v>
      </c>
      <c r="G262" s="154">
        <v>1</v>
      </c>
      <c r="H262" s="137">
        <v>2006</v>
      </c>
      <c r="I262" s="135">
        <v>40</v>
      </c>
      <c r="J262" s="592">
        <f t="shared" si="32"/>
        <v>100</v>
      </c>
      <c r="K262" s="600">
        <f t="shared" si="26"/>
        <v>0</v>
      </c>
      <c r="L262" s="592"/>
      <c r="M262" s="592"/>
      <c r="N262" s="600">
        <f t="shared" si="27"/>
        <v>0</v>
      </c>
      <c r="O262" s="592"/>
      <c r="P262" s="592"/>
      <c r="Q262" s="600">
        <f t="shared" si="33"/>
        <v>0</v>
      </c>
    </row>
    <row r="263" spans="3:17" ht="17.25">
      <c r="C263" s="561">
        <v>88</v>
      </c>
      <c r="D263" s="137" t="s">
        <v>590</v>
      </c>
      <c r="E263" s="148"/>
      <c r="F263" s="138" t="s">
        <v>445</v>
      </c>
      <c r="G263" s="154">
        <v>8</v>
      </c>
      <c r="H263" s="137">
        <v>2018</v>
      </c>
      <c r="I263" s="135">
        <v>379.9848</v>
      </c>
      <c r="J263" s="592">
        <f t="shared" si="32"/>
        <v>70</v>
      </c>
      <c r="K263" s="600">
        <f t="shared" si="26"/>
        <v>113.99544000000003</v>
      </c>
      <c r="L263" s="592"/>
      <c r="M263" s="592"/>
      <c r="N263" s="600">
        <f t="shared" si="27"/>
        <v>0</v>
      </c>
      <c r="O263" s="592"/>
      <c r="P263" s="592"/>
      <c r="Q263" s="600">
        <f t="shared" si="33"/>
        <v>0</v>
      </c>
    </row>
    <row r="264" spans="3:17" ht="17.25">
      <c r="C264" s="561">
        <v>89</v>
      </c>
      <c r="D264" s="137" t="s">
        <v>591</v>
      </c>
      <c r="E264" s="148"/>
      <c r="F264" s="138" t="s">
        <v>445</v>
      </c>
      <c r="G264" s="140">
        <v>2</v>
      </c>
      <c r="H264" s="137">
        <v>2018</v>
      </c>
      <c r="I264" s="135">
        <v>117.996</v>
      </c>
      <c r="J264" s="592">
        <f t="shared" si="32"/>
        <v>70</v>
      </c>
      <c r="K264" s="600">
        <f t="shared" si="26"/>
        <v>35.39880000000001</v>
      </c>
      <c r="L264" s="592"/>
      <c r="M264" s="592"/>
      <c r="N264" s="600">
        <f t="shared" si="27"/>
        <v>0</v>
      </c>
      <c r="O264" s="592"/>
      <c r="P264" s="592"/>
      <c r="Q264" s="600">
        <f t="shared" si="33"/>
        <v>0</v>
      </c>
    </row>
    <row r="265" spans="3:17" ht="17.25">
      <c r="C265" s="561">
        <v>90</v>
      </c>
      <c r="D265" s="137" t="s">
        <v>592</v>
      </c>
      <c r="E265" s="148"/>
      <c r="F265" s="138" t="s">
        <v>445</v>
      </c>
      <c r="G265" s="154">
        <v>1</v>
      </c>
      <c r="H265" s="137">
        <v>2008</v>
      </c>
      <c r="I265" s="135">
        <v>60</v>
      </c>
      <c r="J265" s="592">
        <f t="shared" si="32"/>
        <v>100</v>
      </c>
      <c r="K265" s="600">
        <f t="shared" si="26"/>
        <v>0</v>
      </c>
      <c r="L265" s="592"/>
      <c r="M265" s="592"/>
      <c r="N265" s="600">
        <f t="shared" si="27"/>
        <v>0</v>
      </c>
      <c r="O265" s="592"/>
      <c r="P265" s="592"/>
      <c r="Q265" s="600">
        <f t="shared" si="33"/>
        <v>0</v>
      </c>
    </row>
    <row r="266" spans="3:17" ht="17.25">
      <c r="C266" s="561">
        <v>91</v>
      </c>
      <c r="D266" s="137" t="s">
        <v>562</v>
      </c>
      <c r="E266" s="148"/>
      <c r="F266" s="138" t="s">
        <v>445</v>
      </c>
      <c r="G266" s="154">
        <v>1</v>
      </c>
      <c r="H266" s="137">
        <v>2018</v>
      </c>
      <c r="I266" s="135">
        <v>69</v>
      </c>
      <c r="J266" s="592">
        <f t="shared" si="32"/>
        <v>70</v>
      </c>
      <c r="K266" s="600">
        <f t="shared" si="26"/>
        <v>20.700000000000003</v>
      </c>
      <c r="L266" s="592"/>
      <c r="M266" s="592"/>
      <c r="N266" s="600">
        <f t="shared" si="27"/>
        <v>0</v>
      </c>
      <c r="O266" s="592"/>
      <c r="P266" s="592"/>
      <c r="Q266" s="600">
        <f t="shared" si="33"/>
        <v>0</v>
      </c>
    </row>
    <row r="267" spans="3:17" ht="17.25">
      <c r="C267" s="561">
        <v>92</v>
      </c>
      <c r="D267" s="137" t="s">
        <v>593</v>
      </c>
      <c r="E267" s="148"/>
      <c r="F267" s="138" t="s">
        <v>445</v>
      </c>
      <c r="G267" s="154">
        <v>3</v>
      </c>
      <c r="H267" s="137">
        <v>2018</v>
      </c>
      <c r="I267" s="135">
        <v>207</v>
      </c>
      <c r="J267" s="592">
        <f t="shared" si="32"/>
        <v>70</v>
      </c>
      <c r="K267" s="600">
        <f t="shared" si="26"/>
        <v>62.10000000000002</v>
      </c>
      <c r="L267" s="605"/>
      <c r="M267" s="606"/>
      <c r="N267" s="600">
        <f t="shared" si="27"/>
        <v>0</v>
      </c>
      <c r="O267" s="605"/>
      <c r="P267" s="606"/>
      <c r="Q267" s="600">
        <f t="shared" si="33"/>
        <v>0</v>
      </c>
    </row>
    <row r="268" spans="3:17" ht="17.25">
      <c r="C268" s="561">
        <v>93</v>
      </c>
      <c r="D268" s="137" t="s">
        <v>594</v>
      </c>
      <c r="E268" s="148"/>
      <c r="F268" s="138" t="s">
        <v>445</v>
      </c>
      <c r="G268" s="154">
        <v>2</v>
      </c>
      <c r="H268" s="137">
        <v>2018</v>
      </c>
      <c r="I268" s="135">
        <v>150</v>
      </c>
      <c r="J268" s="592">
        <f t="shared" si="32"/>
        <v>70</v>
      </c>
      <c r="K268" s="600">
        <f t="shared" si="26"/>
        <v>45</v>
      </c>
      <c r="L268" s="592"/>
      <c r="M268" s="592"/>
      <c r="N268" s="600">
        <f t="shared" si="27"/>
        <v>0</v>
      </c>
      <c r="O268" s="592"/>
      <c r="P268" s="592"/>
      <c r="Q268" s="600">
        <f t="shared" si="33"/>
        <v>0</v>
      </c>
    </row>
    <row r="269" spans="3:17" ht="17.25">
      <c r="C269" s="561">
        <v>94</v>
      </c>
      <c r="D269" s="137" t="s">
        <v>562</v>
      </c>
      <c r="E269" s="148"/>
      <c r="F269" s="138" t="s">
        <v>445</v>
      </c>
      <c r="G269" s="154">
        <v>1</v>
      </c>
      <c r="H269" s="137">
        <v>2018</v>
      </c>
      <c r="I269" s="135">
        <v>79.998</v>
      </c>
      <c r="J269" s="592">
        <f t="shared" si="32"/>
        <v>70</v>
      </c>
      <c r="K269" s="600">
        <f t="shared" si="26"/>
        <v>23.99940000000001</v>
      </c>
      <c r="L269" s="592"/>
      <c r="M269" s="592"/>
      <c r="N269" s="600">
        <f t="shared" si="27"/>
        <v>0</v>
      </c>
      <c r="O269" s="592"/>
      <c r="P269" s="592"/>
      <c r="Q269" s="600">
        <f t="shared" si="33"/>
        <v>0</v>
      </c>
    </row>
    <row r="270" spans="3:17" ht="17.25">
      <c r="C270" s="561">
        <v>95</v>
      </c>
      <c r="D270" s="137" t="s">
        <v>595</v>
      </c>
      <c r="E270" s="148"/>
      <c r="F270" s="138" t="s">
        <v>445</v>
      </c>
      <c r="G270" s="154">
        <v>1</v>
      </c>
      <c r="H270" s="137">
        <v>2018</v>
      </c>
      <c r="I270" s="135">
        <v>79.998</v>
      </c>
      <c r="J270" s="592">
        <f t="shared" si="32"/>
        <v>70</v>
      </c>
      <c r="K270" s="600">
        <f t="shared" si="26"/>
        <v>23.99940000000001</v>
      </c>
      <c r="L270" s="592"/>
      <c r="M270" s="592"/>
      <c r="N270" s="600">
        <f t="shared" si="27"/>
        <v>0</v>
      </c>
      <c r="O270" s="592"/>
      <c r="P270" s="592"/>
      <c r="Q270" s="600">
        <f t="shared" si="33"/>
        <v>0</v>
      </c>
    </row>
    <row r="271" spans="3:17" ht="17.25">
      <c r="C271" s="561">
        <v>96</v>
      </c>
      <c r="D271" s="137" t="s">
        <v>596</v>
      </c>
      <c r="E271" s="148"/>
      <c r="F271" s="138" t="s">
        <v>445</v>
      </c>
      <c r="G271" s="140">
        <v>1</v>
      </c>
      <c r="H271" s="137">
        <v>2018</v>
      </c>
      <c r="I271" s="135">
        <v>83.33</v>
      </c>
      <c r="J271" s="592">
        <f t="shared" si="32"/>
        <v>70</v>
      </c>
      <c r="K271" s="600">
        <f t="shared" si="26"/>
        <v>24.999000000000002</v>
      </c>
      <c r="L271" s="592"/>
      <c r="M271" s="592"/>
      <c r="N271" s="600">
        <f t="shared" si="27"/>
        <v>0</v>
      </c>
      <c r="O271" s="592"/>
      <c r="P271" s="592"/>
      <c r="Q271" s="600">
        <f t="shared" si="33"/>
        <v>0</v>
      </c>
    </row>
    <row r="272" spans="3:17" ht="17.25">
      <c r="C272" s="561">
        <v>97</v>
      </c>
      <c r="D272" s="137" t="s">
        <v>597</v>
      </c>
      <c r="E272" s="148"/>
      <c r="F272" s="138" t="s">
        <v>445</v>
      </c>
      <c r="G272" s="154">
        <v>1</v>
      </c>
      <c r="H272" s="137">
        <v>2018</v>
      </c>
      <c r="I272" s="135">
        <v>95</v>
      </c>
      <c r="J272" s="592">
        <f aca="true" t="shared" si="34" ref="J272:J284">IF(($J$14-H272)*J$175&gt;100,100,($J$14-H272)*J$175)</f>
        <v>70</v>
      </c>
      <c r="K272" s="600">
        <f t="shared" si="26"/>
        <v>28.5</v>
      </c>
      <c r="L272" s="592"/>
      <c r="M272" s="592"/>
      <c r="N272" s="600">
        <f t="shared" si="27"/>
        <v>0</v>
      </c>
      <c r="O272" s="592"/>
      <c r="P272" s="592"/>
      <c r="Q272" s="600">
        <f t="shared" si="33"/>
        <v>0</v>
      </c>
    </row>
    <row r="273" spans="3:17" ht="17.25">
      <c r="C273" s="561">
        <v>98</v>
      </c>
      <c r="D273" s="137" t="s">
        <v>598</v>
      </c>
      <c r="E273" s="148"/>
      <c r="F273" s="138" t="s">
        <v>445</v>
      </c>
      <c r="G273" s="154">
        <v>1</v>
      </c>
      <c r="H273" s="137">
        <v>2018</v>
      </c>
      <c r="I273" s="135">
        <v>108.329</v>
      </c>
      <c r="J273" s="592">
        <f t="shared" si="34"/>
        <v>70</v>
      </c>
      <c r="K273" s="600">
        <f t="shared" si="26"/>
        <v>32.4987</v>
      </c>
      <c r="L273" s="592"/>
      <c r="M273" s="592"/>
      <c r="N273" s="600">
        <f t="shared" si="27"/>
        <v>0</v>
      </c>
      <c r="O273" s="592"/>
      <c r="P273" s="592"/>
      <c r="Q273" s="600">
        <f t="shared" si="33"/>
        <v>0</v>
      </c>
    </row>
    <row r="274" spans="3:17" ht="17.25">
      <c r="C274" s="561">
        <v>99</v>
      </c>
      <c r="D274" s="137" t="s">
        <v>599</v>
      </c>
      <c r="E274" s="148"/>
      <c r="F274" s="138" t="s">
        <v>445</v>
      </c>
      <c r="G274" s="154">
        <v>2</v>
      </c>
      <c r="H274" s="137">
        <v>2020</v>
      </c>
      <c r="I274" s="135">
        <v>399.84</v>
      </c>
      <c r="J274" s="592">
        <f t="shared" si="34"/>
        <v>50</v>
      </c>
      <c r="K274" s="600">
        <f t="shared" si="26"/>
        <v>199.92</v>
      </c>
      <c r="L274" s="592"/>
      <c r="M274" s="592"/>
      <c r="N274" s="600">
        <f t="shared" si="27"/>
        <v>0</v>
      </c>
      <c r="O274" s="592"/>
      <c r="P274" s="592"/>
      <c r="Q274" s="600">
        <f t="shared" si="33"/>
        <v>0</v>
      </c>
    </row>
    <row r="275" spans="3:17" ht="17.25">
      <c r="C275" s="561">
        <v>100</v>
      </c>
      <c r="D275" s="137" t="s">
        <v>600</v>
      </c>
      <c r="E275" s="148"/>
      <c r="F275" s="138" t="s">
        <v>445</v>
      </c>
      <c r="G275" s="154">
        <v>1</v>
      </c>
      <c r="H275" s="137">
        <v>2018</v>
      </c>
      <c r="I275" s="135">
        <v>204.1585</v>
      </c>
      <c r="J275" s="592">
        <f t="shared" si="34"/>
        <v>70</v>
      </c>
      <c r="K275" s="600">
        <v>228</v>
      </c>
      <c r="L275" s="592"/>
      <c r="M275" s="592"/>
      <c r="N275" s="600">
        <f t="shared" si="27"/>
        <v>0</v>
      </c>
      <c r="O275" s="592"/>
      <c r="P275" s="592"/>
      <c r="Q275" s="600">
        <f t="shared" si="33"/>
        <v>0</v>
      </c>
    </row>
    <row r="276" spans="3:17" ht="17.25">
      <c r="C276" s="561">
        <v>101</v>
      </c>
      <c r="D276" s="137" t="s">
        <v>601</v>
      </c>
      <c r="E276" s="148"/>
      <c r="F276" s="160" t="s">
        <v>445</v>
      </c>
      <c r="G276" s="154">
        <v>1</v>
      </c>
      <c r="H276" s="137">
        <v>2012</v>
      </c>
      <c r="I276" s="135">
        <v>214.1365</v>
      </c>
      <c r="J276" s="592">
        <f t="shared" si="34"/>
        <v>100</v>
      </c>
      <c r="K276" s="600">
        <f t="shared" si="26"/>
        <v>0</v>
      </c>
      <c r="L276" s="592"/>
      <c r="M276" s="592"/>
      <c r="N276" s="600">
        <f aca="true" t="shared" si="35" ref="N276:N284">+L276*M276</f>
        <v>0</v>
      </c>
      <c r="O276" s="592"/>
      <c r="P276" s="592"/>
      <c r="Q276" s="600">
        <f t="shared" si="33"/>
        <v>0</v>
      </c>
    </row>
    <row r="277" spans="3:17" ht="17.25">
      <c r="C277" s="561">
        <v>102</v>
      </c>
      <c r="D277" s="137" t="s">
        <v>602</v>
      </c>
      <c r="E277" s="148"/>
      <c r="F277" s="133" t="s">
        <v>445</v>
      </c>
      <c r="G277" s="154">
        <v>1</v>
      </c>
      <c r="H277" s="137">
        <v>2018</v>
      </c>
      <c r="I277" s="135">
        <v>650</v>
      </c>
      <c r="J277" s="592">
        <f t="shared" si="34"/>
        <v>70</v>
      </c>
      <c r="K277" s="600">
        <f t="shared" si="26"/>
        <v>195.00000000000006</v>
      </c>
      <c r="L277" s="592"/>
      <c r="M277" s="592"/>
      <c r="N277" s="600">
        <f t="shared" si="35"/>
        <v>0</v>
      </c>
      <c r="O277" s="592"/>
      <c r="P277" s="592"/>
      <c r="Q277" s="600">
        <f t="shared" si="33"/>
        <v>0</v>
      </c>
    </row>
    <row r="278" spans="3:17" ht="20.25" customHeight="1">
      <c r="C278" s="561">
        <v>103</v>
      </c>
      <c r="D278" s="176" t="s">
        <v>842</v>
      </c>
      <c r="E278" s="148"/>
      <c r="F278" s="133" t="s">
        <v>445</v>
      </c>
      <c r="G278" s="147">
        <v>10</v>
      </c>
      <c r="H278" s="134">
        <v>2013</v>
      </c>
      <c r="I278" s="135">
        <v>975</v>
      </c>
      <c r="J278" s="592">
        <f t="shared" si="34"/>
        <v>100</v>
      </c>
      <c r="K278" s="600">
        <f>IF(J278=100,0,I278-I278*J278%)</f>
        <v>0</v>
      </c>
      <c r="L278" s="592"/>
      <c r="M278" s="592"/>
      <c r="N278" s="600">
        <f t="shared" si="35"/>
        <v>0</v>
      </c>
      <c r="O278" s="592"/>
      <c r="P278" s="592"/>
      <c r="Q278" s="600">
        <f>+O278*P278</f>
        <v>0</v>
      </c>
    </row>
    <row r="279" spans="3:17" ht="20.25" customHeight="1">
      <c r="C279" s="561">
        <v>104</v>
      </c>
      <c r="D279" s="176" t="s">
        <v>585</v>
      </c>
      <c r="E279" s="148"/>
      <c r="F279" s="133"/>
      <c r="G279" s="147"/>
      <c r="H279" s="134"/>
      <c r="I279" s="135"/>
      <c r="J279" s="592">
        <f t="shared" si="34"/>
        <v>100</v>
      </c>
      <c r="K279" s="600">
        <f>IF(J279=100,0,I279-I279*J279%)</f>
        <v>0</v>
      </c>
      <c r="L279" s="592">
        <v>20</v>
      </c>
      <c r="M279" s="592">
        <v>30</v>
      </c>
      <c r="N279" s="600">
        <f t="shared" si="35"/>
        <v>600</v>
      </c>
      <c r="O279" s="592"/>
      <c r="P279" s="592"/>
      <c r="Q279" s="600">
        <f>+O279*P279</f>
        <v>0</v>
      </c>
    </row>
    <row r="280" spans="3:17" ht="20.25" customHeight="1">
      <c r="C280" s="561">
        <v>105</v>
      </c>
      <c r="D280" s="176" t="s">
        <v>569</v>
      </c>
      <c r="E280" s="148"/>
      <c r="F280" s="133"/>
      <c r="G280" s="147"/>
      <c r="H280" s="134"/>
      <c r="I280" s="135"/>
      <c r="J280" s="592">
        <f t="shared" si="34"/>
        <v>100</v>
      </c>
      <c r="K280" s="600">
        <f>IF(J280=100,0,I280-I280*J280%)</f>
        <v>0</v>
      </c>
      <c r="L280" s="592">
        <v>2</v>
      </c>
      <c r="M280" s="592">
        <v>60</v>
      </c>
      <c r="N280" s="600">
        <f t="shared" si="35"/>
        <v>120</v>
      </c>
      <c r="O280" s="592"/>
      <c r="P280" s="592"/>
      <c r="Q280" s="600">
        <f>+O280*P280</f>
        <v>0</v>
      </c>
    </row>
    <row r="281" spans="3:17" ht="17.25">
      <c r="C281" s="561">
        <v>106</v>
      </c>
      <c r="D281" s="629" t="s">
        <v>851</v>
      </c>
      <c r="E281" s="602"/>
      <c r="F281" s="592" t="s">
        <v>445</v>
      </c>
      <c r="G281" s="594"/>
      <c r="H281" s="630"/>
      <c r="I281" s="631"/>
      <c r="J281" s="592">
        <f t="shared" si="34"/>
        <v>100</v>
      </c>
      <c r="K281" s="600">
        <f>IF(J281=100,0,I281-I281*J281%)</f>
        <v>0</v>
      </c>
      <c r="L281" s="605">
        <v>5</v>
      </c>
      <c r="M281" s="605">
        <v>15</v>
      </c>
      <c r="N281" s="600">
        <f t="shared" si="35"/>
        <v>75</v>
      </c>
      <c r="O281" s="605"/>
      <c r="P281" s="605"/>
      <c r="Q281" s="600">
        <f t="shared" si="33"/>
        <v>0</v>
      </c>
    </row>
    <row r="282" spans="3:17" ht="17.25">
      <c r="C282" s="561">
        <v>107</v>
      </c>
      <c r="D282" s="638" t="s">
        <v>539</v>
      </c>
      <c r="E282" s="602"/>
      <c r="F282" s="592"/>
      <c r="G282" s="594"/>
      <c r="H282" s="630"/>
      <c r="I282" s="631"/>
      <c r="J282" s="592">
        <f t="shared" si="34"/>
        <v>100</v>
      </c>
      <c r="K282" s="600"/>
      <c r="L282" s="605"/>
      <c r="M282" s="605"/>
      <c r="N282" s="600">
        <f t="shared" si="35"/>
        <v>0</v>
      </c>
      <c r="O282" s="605">
        <v>5</v>
      </c>
      <c r="P282" s="605">
        <v>195</v>
      </c>
      <c r="Q282" s="600">
        <f t="shared" si="33"/>
        <v>975</v>
      </c>
    </row>
    <row r="283" spans="3:17" ht="17.25">
      <c r="C283" s="561">
        <v>108</v>
      </c>
      <c r="D283" s="638" t="s">
        <v>596</v>
      </c>
      <c r="E283" s="602"/>
      <c r="F283" s="592"/>
      <c r="G283" s="594"/>
      <c r="H283" s="630"/>
      <c r="I283" s="631"/>
      <c r="J283" s="592">
        <f t="shared" si="34"/>
        <v>100</v>
      </c>
      <c r="K283" s="600"/>
      <c r="L283" s="605"/>
      <c r="M283" s="605"/>
      <c r="N283" s="600">
        <f t="shared" si="35"/>
        <v>0</v>
      </c>
      <c r="O283" s="605">
        <v>1</v>
      </c>
      <c r="P283" s="605">
        <v>400</v>
      </c>
      <c r="Q283" s="600">
        <f t="shared" si="33"/>
        <v>400</v>
      </c>
    </row>
    <row r="284" spans="3:17" ht="17.25">
      <c r="C284" s="561">
        <v>109</v>
      </c>
      <c r="D284" s="638"/>
      <c r="E284" s="602"/>
      <c r="F284" s="592"/>
      <c r="G284" s="594"/>
      <c r="H284" s="630"/>
      <c r="I284" s="631"/>
      <c r="J284" s="592">
        <f t="shared" si="34"/>
        <v>100</v>
      </c>
      <c r="K284" s="600"/>
      <c r="L284" s="605"/>
      <c r="M284" s="605"/>
      <c r="N284" s="600">
        <f t="shared" si="35"/>
        <v>0</v>
      </c>
      <c r="O284" s="605"/>
      <c r="P284" s="605"/>
      <c r="Q284" s="600">
        <f t="shared" si="33"/>
        <v>0</v>
      </c>
    </row>
    <row r="285" spans="3:17" ht="34.5">
      <c r="C285" s="561">
        <v>110</v>
      </c>
      <c r="D285" s="608" t="s">
        <v>1117</v>
      </c>
      <c r="E285" s="602"/>
      <c r="F285" s="602"/>
      <c r="G285" s="609">
        <f>SUMIF(J176:J281,"&lt;100",G176:G281)</f>
        <v>141</v>
      </c>
      <c r="H285" s="602"/>
      <c r="I285" s="610"/>
      <c r="J285" s="602"/>
      <c r="K285" s="611"/>
      <c r="L285" s="602"/>
      <c r="M285" s="602"/>
      <c r="N285" s="567"/>
      <c r="O285" s="602"/>
      <c r="P285" s="602"/>
      <c r="Q285" s="567"/>
    </row>
    <row r="286" spans="1:17" ht="34.5">
      <c r="A286" s="620"/>
      <c r="B286" s="620"/>
      <c r="C286" s="589">
        <v>621</v>
      </c>
      <c r="D286" s="590" t="s">
        <v>279</v>
      </c>
      <c r="E286" s="591">
        <v>5</v>
      </c>
      <c r="F286" s="592"/>
      <c r="G286" s="598">
        <f>SUM(G287:G296)</f>
        <v>81</v>
      </c>
      <c r="H286" s="592"/>
      <c r="I286" s="621"/>
      <c r="J286" s="591">
        <v>20</v>
      </c>
      <c r="K286" s="594"/>
      <c r="L286" s="598">
        <f>SUM(L287:L296)</f>
        <v>0</v>
      </c>
      <c r="M286" s="592"/>
      <c r="N286" s="598">
        <f>SUM(N287:N296)</f>
        <v>0</v>
      </c>
      <c r="O286" s="598">
        <f>SUM(O287:O296)</f>
        <v>0</v>
      </c>
      <c r="P286" s="592"/>
      <c r="Q286" s="598">
        <f>SUM(Q287:Q296)</f>
        <v>0</v>
      </c>
    </row>
    <row r="287" spans="3:17" ht="17.25">
      <c r="C287" s="561">
        <v>1</v>
      </c>
      <c r="D287" s="165" t="s">
        <v>604</v>
      </c>
      <c r="E287" s="151"/>
      <c r="F287" s="155" t="s">
        <v>445</v>
      </c>
      <c r="G287" s="154">
        <v>32</v>
      </c>
      <c r="H287" s="154">
        <v>2013</v>
      </c>
      <c r="I287" s="135">
        <v>217.705</v>
      </c>
      <c r="J287" s="592">
        <f aca="true" t="shared" si="36" ref="J287:J296">IF(($J$14-H287)*J$286&gt;100,100,($J$14-H287)*J$286)</f>
        <v>100</v>
      </c>
      <c r="K287" s="600">
        <f aca="true" t="shared" si="37" ref="K287:K292">IF(J287=100,0,I287-I287*J287%)</f>
        <v>0</v>
      </c>
      <c r="L287" s="592"/>
      <c r="M287" s="592"/>
      <c r="N287" s="600">
        <f aca="true" t="shared" si="38" ref="N287:N295">+L287*M287</f>
        <v>0</v>
      </c>
      <c r="O287" s="592"/>
      <c r="P287" s="592"/>
      <c r="Q287" s="600">
        <f>+O287*P287</f>
        <v>0</v>
      </c>
    </row>
    <row r="288" spans="3:17" ht="17.25">
      <c r="C288" s="561">
        <v>2</v>
      </c>
      <c r="D288" s="110" t="s">
        <v>605</v>
      </c>
      <c r="E288" s="151"/>
      <c r="F288" s="155" t="s">
        <v>445</v>
      </c>
      <c r="G288" s="154">
        <v>20</v>
      </c>
      <c r="H288" s="154">
        <v>2013</v>
      </c>
      <c r="I288" s="135">
        <v>185.54</v>
      </c>
      <c r="J288" s="592">
        <f t="shared" si="36"/>
        <v>100</v>
      </c>
      <c r="K288" s="600">
        <f t="shared" si="37"/>
        <v>0</v>
      </c>
      <c r="L288" s="592"/>
      <c r="M288" s="592"/>
      <c r="N288" s="600">
        <f t="shared" si="38"/>
        <v>0</v>
      </c>
      <c r="O288" s="592"/>
      <c r="P288" s="592"/>
      <c r="Q288" s="600">
        <f aca="true" t="shared" si="39" ref="Q288:Q296">+O288*P288</f>
        <v>0</v>
      </c>
    </row>
    <row r="289" spans="3:17" ht="17.25">
      <c r="C289" s="561">
        <v>3</v>
      </c>
      <c r="D289" s="110" t="s">
        <v>606</v>
      </c>
      <c r="E289" s="151"/>
      <c r="F289" s="152" t="s">
        <v>445</v>
      </c>
      <c r="G289" s="154">
        <v>1</v>
      </c>
      <c r="H289" s="154">
        <v>2012</v>
      </c>
      <c r="I289" s="135">
        <v>14.57584</v>
      </c>
      <c r="J289" s="592">
        <f t="shared" si="36"/>
        <v>100</v>
      </c>
      <c r="K289" s="600">
        <f t="shared" si="37"/>
        <v>0</v>
      </c>
      <c r="L289" s="592"/>
      <c r="M289" s="592"/>
      <c r="N289" s="600">
        <f t="shared" si="38"/>
        <v>0</v>
      </c>
      <c r="O289" s="592"/>
      <c r="P289" s="592"/>
      <c r="Q289" s="600">
        <f t="shared" si="39"/>
        <v>0</v>
      </c>
    </row>
    <row r="290" spans="3:17" ht="17.25">
      <c r="C290" s="561">
        <v>4</v>
      </c>
      <c r="D290" s="110" t="s">
        <v>607</v>
      </c>
      <c r="E290" s="151"/>
      <c r="F290" s="152" t="s">
        <v>445</v>
      </c>
      <c r="G290" s="154">
        <v>1</v>
      </c>
      <c r="H290" s="154">
        <v>2002</v>
      </c>
      <c r="I290" s="135">
        <v>15</v>
      </c>
      <c r="J290" s="592">
        <f t="shared" si="36"/>
        <v>100</v>
      </c>
      <c r="K290" s="600">
        <f t="shared" si="37"/>
        <v>0</v>
      </c>
      <c r="L290" s="592"/>
      <c r="M290" s="592"/>
      <c r="N290" s="600">
        <f t="shared" si="38"/>
        <v>0</v>
      </c>
      <c r="O290" s="592"/>
      <c r="P290" s="592"/>
      <c r="Q290" s="600">
        <f t="shared" si="39"/>
        <v>0</v>
      </c>
    </row>
    <row r="291" spans="3:17" ht="17.25">
      <c r="C291" s="561">
        <v>5</v>
      </c>
      <c r="D291" s="110" t="s">
        <v>608</v>
      </c>
      <c r="E291" s="151"/>
      <c r="F291" s="152" t="s">
        <v>445</v>
      </c>
      <c r="G291" s="154">
        <v>11</v>
      </c>
      <c r="H291" s="154">
        <v>2014</v>
      </c>
      <c r="I291" s="135">
        <v>167.27128</v>
      </c>
      <c r="J291" s="592">
        <f t="shared" si="36"/>
        <v>100</v>
      </c>
      <c r="K291" s="600">
        <f t="shared" si="37"/>
        <v>0</v>
      </c>
      <c r="L291" s="592"/>
      <c r="M291" s="592"/>
      <c r="N291" s="600">
        <f t="shared" si="38"/>
        <v>0</v>
      </c>
      <c r="O291" s="592"/>
      <c r="P291" s="592"/>
      <c r="Q291" s="600">
        <f t="shared" si="39"/>
        <v>0</v>
      </c>
    </row>
    <row r="292" spans="3:17" ht="17.25">
      <c r="C292" s="561">
        <v>6</v>
      </c>
      <c r="D292" s="110" t="s">
        <v>609</v>
      </c>
      <c r="E292" s="151"/>
      <c r="F292" s="152" t="s">
        <v>445</v>
      </c>
      <c r="G292" s="154">
        <v>16</v>
      </c>
      <c r="H292" s="154">
        <v>2013</v>
      </c>
      <c r="I292" s="135">
        <v>564.09664</v>
      </c>
      <c r="J292" s="592">
        <f t="shared" si="36"/>
        <v>100</v>
      </c>
      <c r="K292" s="600">
        <f t="shared" si="37"/>
        <v>0</v>
      </c>
      <c r="L292" s="592"/>
      <c r="M292" s="592"/>
      <c r="N292" s="600">
        <f t="shared" si="38"/>
        <v>0</v>
      </c>
      <c r="O292" s="592"/>
      <c r="P292" s="592"/>
      <c r="Q292" s="600">
        <f t="shared" si="39"/>
        <v>0</v>
      </c>
    </row>
    <row r="293" spans="3:17" ht="17.25">
      <c r="C293" s="561">
        <v>21</v>
      </c>
      <c r="D293" s="618"/>
      <c r="E293" s="602"/>
      <c r="F293" s="592" t="s">
        <v>445</v>
      </c>
      <c r="G293" s="594"/>
      <c r="H293" s="592"/>
      <c r="I293" s="600"/>
      <c r="J293" s="592">
        <f t="shared" si="36"/>
        <v>100</v>
      </c>
      <c r="K293" s="600">
        <f>IF(J293=100,0,I293-I293*J293%)</f>
        <v>0</v>
      </c>
      <c r="L293" s="592"/>
      <c r="M293" s="600"/>
      <c r="N293" s="600">
        <f t="shared" si="38"/>
        <v>0</v>
      </c>
      <c r="O293" s="592"/>
      <c r="P293" s="600"/>
      <c r="Q293" s="600">
        <f>+O293*P293</f>
        <v>0</v>
      </c>
    </row>
    <row r="294" spans="3:17" ht="17.25">
      <c r="C294" s="561">
        <v>22</v>
      </c>
      <c r="D294" s="618"/>
      <c r="E294" s="602"/>
      <c r="F294" s="592" t="s">
        <v>445</v>
      </c>
      <c r="G294" s="594"/>
      <c r="H294" s="592"/>
      <c r="I294" s="600"/>
      <c r="J294" s="592">
        <f t="shared" si="36"/>
        <v>100</v>
      </c>
      <c r="K294" s="600">
        <f>IF(J294=100,0,I294-I294*J294%)</f>
        <v>0</v>
      </c>
      <c r="L294" s="628"/>
      <c r="M294" s="632"/>
      <c r="N294" s="600">
        <f t="shared" si="38"/>
        <v>0</v>
      </c>
      <c r="O294" s="628"/>
      <c r="P294" s="632"/>
      <c r="Q294" s="600">
        <f>+O294*P294</f>
        <v>0</v>
      </c>
    </row>
    <row r="295" spans="3:17" ht="17.25">
      <c r="C295" s="561">
        <v>23</v>
      </c>
      <c r="D295" s="618"/>
      <c r="E295" s="602"/>
      <c r="F295" s="592" t="s">
        <v>445</v>
      </c>
      <c r="G295" s="594"/>
      <c r="H295" s="592"/>
      <c r="I295" s="600"/>
      <c r="J295" s="592">
        <f t="shared" si="36"/>
        <v>100</v>
      </c>
      <c r="K295" s="600">
        <f>IF(J295=100,0,I295-I295*J295%)</f>
        <v>0</v>
      </c>
      <c r="L295" s="628"/>
      <c r="M295" s="632"/>
      <c r="N295" s="600">
        <f t="shared" si="38"/>
        <v>0</v>
      </c>
      <c r="O295" s="607"/>
      <c r="P295" s="606"/>
      <c r="Q295" s="600">
        <f>+O295*P295</f>
        <v>0</v>
      </c>
    </row>
    <row r="296" spans="3:17" ht="17.25">
      <c r="C296" s="561">
        <v>24</v>
      </c>
      <c r="D296" s="618"/>
      <c r="E296" s="602"/>
      <c r="F296" s="592" t="s">
        <v>445</v>
      </c>
      <c r="G296" s="594"/>
      <c r="H296" s="592"/>
      <c r="I296" s="600"/>
      <c r="J296" s="592">
        <f t="shared" si="36"/>
        <v>100</v>
      </c>
      <c r="K296" s="600">
        <f>IF(J296=100,0,I296-I296*J296%)</f>
        <v>0</v>
      </c>
      <c r="L296" s="628"/>
      <c r="M296" s="632"/>
      <c r="N296" s="600"/>
      <c r="O296" s="607"/>
      <c r="P296" s="606"/>
      <c r="Q296" s="600">
        <f t="shared" si="39"/>
        <v>0</v>
      </c>
    </row>
    <row r="297" spans="3:17" ht="34.5">
      <c r="C297" s="561"/>
      <c r="D297" s="608" t="s">
        <v>1117</v>
      </c>
      <c r="E297" s="602"/>
      <c r="F297" s="602"/>
      <c r="G297" s="633">
        <f>SUMIF(J287:J296,"&lt;100",G287:G296)</f>
        <v>0</v>
      </c>
      <c r="H297" s="602"/>
      <c r="I297" s="610"/>
      <c r="K297" s="611"/>
      <c r="L297" s="602"/>
      <c r="M297" s="602"/>
      <c r="N297" s="567"/>
      <c r="O297" s="602"/>
      <c r="P297" s="602"/>
      <c r="Q297" s="567"/>
    </row>
    <row r="298" spans="1:17" ht="86.25">
      <c r="A298" s="620"/>
      <c r="B298" s="620"/>
      <c r="C298" s="589">
        <v>622</v>
      </c>
      <c r="D298" s="590" t="s">
        <v>282</v>
      </c>
      <c r="E298" s="591">
        <v>8</v>
      </c>
      <c r="F298" s="592"/>
      <c r="G298" s="598">
        <f>SUM(G299:G353)</f>
        <v>93</v>
      </c>
      <c r="H298" s="592"/>
      <c r="I298" s="621"/>
      <c r="J298" s="591">
        <v>12.5</v>
      </c>
      <c r="K298" s="594"/>
      <c r="L298" s="598">
        <f>SUM(L299:L353)</f>
        <v>1</v>
      </c>
      <c r="M298" s="592"/>
      <c r="N298" s="598">
        <f>SUM(N299:N353)</f>
        <v>250</v>
      </c>
      <c r="O298" s="598">
        <f>SUM(O299:O353)</f>
        <v>0</v>
      </c>
      <c r="P298" s="592"/>
      <c r="Q298" s="598">
        <f>SUM(Q299:Q353)</f>
        <v>0</v>
      </c>
    </row>
    <row r="299" spans="3:17" ht="17.25">
      <c r="C299" s="561">
        <v>1</v>
      </c>
      <c r="D299" s="137" t="s">
        <v>610</v>
      </c>
      <c r="E299" s="148"/>
      <c r="F299" s="133" t="s">
        <v>445</v>
      </c>
      <c r="G299" s="155">
        <v>1</v>
      </c>
      <c r="H299" s="163">
        <v>2008</v>
      </c>
      <c r="I299" s="135">
        <v>10</v>
      </c>
      <c r="J299" s="600">
        <f aca="true" t="shared" si="40" ref="J299:J330">IF(($J$14-H299)*J$298&gt;100,100,($J$14-H299)*J$298)</f>
        <v>100</v>
      </c>
      <c r="K299" s="600">
        <f aca="true" t="shared" si="41" ref="K299:K350">IF(J299=100,0,I299-I299*J299%)</f>
        <v>0</v>
      </c>
      <c r="L299" s="592"/>
      <c r="M299" s="592"/>
      <c r="N299" s="600">
        <f aca="true" t="shared" si="42" ref="N299:N364">+L299*M299</f>
        <v>0</v>
      </c>
      <c r="O299" s="592"/>
      <c r="P299" s="592"/>
      <c r="Q299" s="600">
        <f aca="true" t="shared" si="43" ref="Q299:Q353">+O299*P299</f>
        <v>0</v>
      </c>
    </row>
    <row r="300" spans="3:17" ht="17.25">
      <c r="C300" s="561">
        <v>2</v>
      </c>
      <c r="D300" s="137" t="s">
        <v>611</v>
      </c>
      <c r="E300" s="148"/>
      <c r="F300" s="133" t="s">
        <v>445</v>
      </c>
      <c r="G300" s="154">
        <v>1</v>
      </c>
      <c r="H300" s="163">
        <v>2006</v>
      </c>
      <c r="I300" s="135">
        <v>20</v>
      </c>
      <c r="J300" s="600">
        <f t="shared" si="40"/>
        <v>100</v>
      </c>
      <c r="K300" s="600">
        <f t="shared" si="41"/>
        <v>0</v>
      </c>
      <c r="L300" s="592"/>
      <c r="M300" s="592"/>
      <c r="N300" s="600">
        <f t="shared" si="42"/>
        <v>0</v>
      </c>
      <c r="O300" s="592"/>
      <c r="P300" s="592"/>
      <c r="Q300" s="600">
        <f t="shared" si="43"/>
        <v>0</v>
      </c>
    </row>
    <row r="301" spans="3:17" ht="17.25">
      <c r="C301" s="561">
        <v>3</v>
      </c>
      <c r="D301" s="137" t="s">
        <v>612</v>
      </c>
      <c r="E301" s="148"/>
      <c r="F301" s="159" t="s">
        <v>445</v>
      </c>
      <c r="G301" s="155">
        <v>1</v>
      </c>
      <c r="H301" s="163">
        <v>2008</v>
      </c>
      <c r="I301" s="135">
        <v>20</v>
      </c>
      <c r="J301" s="600">
        <f t="shared" si="40"/>
        <v>100</v>
      </c>
      <c r="K301" s="600">
        <f t="shared" si="41"/>
        <v>0</v>
      </c>
      <c r="L301" s="592"/>
      <c r="M301" s="592"/>
      <c r="N301" s="600">
        <f t="shared" si="42"/>
        <v>0</v>
      </c>
      <c r="O301" s="607"/>
      <c r="P301" s="606"/>
      <c r="Q301" s="600">
        <f t="shared" si="43"/>
        <v>0</v>
      </c>
    </row>
    <row r="302" spans="3:17" ht="17.25">
      <c r="C302" s="561">
        <v>4</v>
      </c>
      <c r="D302" s="137" t="s">
        <v>613</v>
      </c>
      <c r="E302" s="148"/>
      <c r="F302" s="159" t="s">
        <v>445</v>
      </c>
      <c r="G302" s="155">
        <v>1</v>
      </c>
      <c r="H302" s="163">
        <v>2004</v>
      </c>
      <c r="I302" s="135">
        <v>20</v>
      </c>
      <c r="J302" s="600">
        <f t="shared" si="40"/>
        <v>100</v>
      </c>
      <c r="K302" s="600">
        <f t="shared" si="41"/>
        <v>0</v>
      </c>
      <c r="L302" s="592"/>
      <c r="M302" s="592"/>
      <c r="N302" s="600">
        <f t="shared" si="42"/>
        <v>0</v>
      </c>
      <c r="O302" s="592"/>
      <c r="P302" s="592"/>
      <c r="Q302" s="600">
        <f t="shared" si="43"/>
        <v>0</v>
      </c>
    </row>
    <row r="303" spans="3:17" ht="17.25">
      <c r="C303" s="561">
        <v>5</v>
      </c>
      <c r="D303" s="137" t="s">
        <v>614</v>
      </c>
      <c r="E303" s="148"/>
      <c r="F303" s="168" t="s">
        <v>445</v>
      </c>
      <c r="G303" s="169">
        <v>3</v>
      </c>
      <c r="H303" s="163">
        <v>2006</v>
      </c>
      <c r="I303" s="135">
        <v>60</v>
      </c>
      <c r="J303" s="600">
        <f t="shared" si="40"/>
        <v>100</v>
      </c>
      <c r="K303" s="600">
        <f t="shared" si="41"/>
        <v>0</v>
      </c>
      <c r="L303" s="592"/>
      <c r="M303" s="592"/>
      <c r="N303" s="600">
        <f t="shared" si="42"/>
        <v>0</v>
      </c>
      <c r="O303" s="592"/>
      <c r="P303" s="592"/>
      <c r="Q303" s="600">
        <f t="shared" si="43"/>
        <v>0</v>
      </c>
    </row>
    <row r="304" spans="3:17" ht="17.25">
      <c r="C304" s="561">
        <v>6</v>
      </c>
      <c r="D304" s="137" t="s">
        <v>615</v>
      </c>
      <c r="E304" s="148"/>
      <c r="F304" s="159" t="s">
        <v>445</v>
      </c>
      <c r="G304" s="169">
        <v>1</v>
      </c>
      <c r="H304" s="163">
        <v>2018</v>
      </c>
      <c r="I304" s="135">
        <v>28</v>
      </c>
      <c r="J304" s="600">
        <f t="shared" si="40"/>
        <v>87.5</v>
      </c>
      <c r="K304" s="600">
        <f t="shared" si="41"/>
        <v>3.5</v>
      </c>
      <c r="L304" s="592"/>
      <c r="M304" s="592"/>
      <c r="N304" s="600">
        <f t="shared" si="42"/>
        <v>0</v>
      </c>
      <c r="O304" s="592"/>
      <c r="P304" s="592"/>
      <c r="Q304" s="600">
        <f t="shared" si="43"/>
        <v>0</v>
      </c>
    </row>
    <row r="305" spans="3:17" ht="17.25">
      <c r="C305" s="561">
        <v>7</v>
      </c>
      <c r="D305" s="137" t="s">
        <v>616</v>
      </c>
      <c r="E305" s="148"/>
      <c r="F305" s="159" t="s">
        <v>445</v>
      </c>
      <c r="G305" s="155">
        <v>1</v>
      </c>
      <c r="H305" s="163">
        <v>2019</v>
      </c>
      <c r="I305" s="135">
        <v>35</v>
      </c>
      <c r="J305" s="600">
        <f t="shared" si="40"/>
        <v>75</v>
      </c>
      <c r="K305" s="600">
        <v>0</v>
      </c>
      <c r="L305" s="592"/>
      <c r="M305" s="592"/>
      <c r="N305" s="600">
        <f t="shared" si="42"/>
        <v>0</v>
      </c>
      <c r="O305" s="592"/>
      <c r="P305" s="592"/>
      <c r="Q305" s="600">
        <f t="shared" si="43"/>
        <v>0</v>
      </c>
    </row>
    <row r="306" spans="3:17" ht="17.25">
      <c r="C306" s="561">
        <v>8</v>
      </c>
      <c r="D306" s="137" t="s">
        <v>617</v>
      </c>
      <c r="E306" s="148"/>
      <c r="F306" s="159" t="s">
        <v>445</v>
      </c>
      <c r="G306" s="155">
        <v>2</v>
      </c>
      <c r="H306" s="163">
        <v>2019</v>
      </c>
      <c r="I306" s="135">
        <v>70</v>
      </c>
      <c r="J306" s="600">
        <f t="shared" si="40"/>
        <v>75</v>
      </c>
      <c r="K306" s="600">
        <f t="shared" si="41"/>
        <v>17.5</v>
      </c>
      <c r="L306" s="592"/>
      <c r="M306" s="592"/>
      <c r="N306" s="600">
        <f t="shared" si="42"/>
        <v>0</v>
      </c>
      <c r="O306" s="592"/>
      <c r="P306" s="592"/>
      <c r="Q306" s="600">
        <f t="shared" si="43"/>
        <v>0</v>
      </c>
    </row>
    <row r="307" spans="3:17" ht="17.25">
      <c r="C307" s="561">
        <v>9</v>
      </c>
      <c r="D307" s="137" t="s">
        <v>618</v>
      </c>
      <c r="E307" s="148"/>
      <c r="F307" s="138" t="s">
        <v>445</v>
      </c>
      <c r="G307" s="154">
        <v>2</v>
      </c>
      <c r="H307" s="163">
        <v>2018</v>
      </c>
      <c r="I307" s="135">
        <v>81.78</v>
      </c>
      <c r="J307" s="600">
        <f t="shared" si="40"/>
        <v>87.5</v>
      </c>
      <c r="K307" s="600">
        <f t="shared" si="41"/>
        <v>10.222499999999997</v>
      </c>
      <c r="L307" s="605"/>
      <c r="M307" s="606"/>
      <c r="N307" s="600">
        <f t="shared" si="42"/>
        <v>0</v>
      </c>
      <c r="O307" s="605"/>
      <c r="P307" s="606"/>
      <c r="Q307" s="600">
        <f t="shared" si="43"/>
        <v>0</v>
      </c>
    </row>
    <row r="308" spans="3:17" ht="17.25">
      <c r="C308" s="561">
        <v>10</v>
      </c>
      <c r="D308" s="137" t="s">
        <v>619</v>
      </c>
      <c r="E308" s="148"/>
      <c r="F308" s="138" t="s">
        <v>445</v>
      </c>
      <c r="G308" s="170">
        <v>1</v>
      </c>
      <c r="H308" s="163">
        <v>2018</v>
      </c>
      <c r="I308" s="135">
        <v>45</v>
      </c>
      <c r="J308" s="600">
        <f t="shared" si="40"/>
        <v>87.5</v>
      </c>
      <c r="K308" s="600">
        <f t="shared" si="41"/>
        <v>5.625</v>
      </c>
      <c r="L308" s="592"/>
      <c r="M308" s="592"/>
      <c r="N308" s="600">
        <f t="shared" si="42"/>
        <v>0</v>
      </c>
      <c r="O308" s="592"/>
      <c r="P308" s="592"/>
      <c r="Q308" s="600">
        <f t="shared" si="43"/>
        <v>0</v>
      </c>
    </row>
    <row r="309" spans="3:17" ht="17.25">
      <c r="C309" s="561">
        <v>11</v>
      </c>
      <c r="D309" s="137" t="s">
        <v>620</v>
      </c>
      <c r="E309" s="148"/>
      <c r="F309" s="138" t="s">
        <v>445</v>
      </c>
      <c r="G309" s="154">
        <v>1</v>
      </c>
      <c r="H309" s="163">
        <v>2019</v>
      </c>
      <c r="I309" s="135">
        <v>50</v>
      </c>
      <c r="J309" s="600">
        <f t="shared" si="40"/>
        <v>75</v>
      </c>
      <c r="K309" s="600">
        <f t="shared" si="41"/>
        <v>12.5</v>
      </c>
      <c r="L309" s="592"/>
      <c r="M309" s="592"/>
      <c r="N309" s="600">
        <f t="shared" si="42"/>
        <v>0</v>
      </c>
      <c r="O309" s="592"/>
      <c r="P309" s="592"/>
      <c r="Q309" s="600">
        <f t="shared" si="43"/>
        <v>0</v>
      </c>
    </row>
    <row r="310" spans="1:17" ht="17.25">
      <c r="A310" s="527">
        <v>5</v>
      </c>
      <c r="C310" s="561">
        <v>12</v>
      </c>
      <c r="D310" s="137" t="s">
        <v>619</v>
      </c>
      <c r="E310" s="148"/>
      <c r="F310" s="138" t="s">
        <v>445</v>
      </c>
      <c r="G310" s="154">
        <v>2</v>
      </c>
      <c r="H310" s="163">
        <v>2018</v>
      </c>
      <c r="I310" s="135">
        <v>130</v>
      </c>
      <c r="J310" s="600">
        <f t="shared" si="40"/>
        <v>87.5</v>
      </c>
      <c r="K310" s="600">
        <f t="shared" si="41"/>
        <v>16.25</v>
      </c>
      <c r="L310" s="592"/>
      <c r="M310" s="592"/>
      <c r="N310" s="600">
        <f t="shared" si="42"/>
        <v>0</v>
      </c>
      <c r="O310" s="592"/>
      <c r="P310" s="592"/>
      <c r="Q310" s="600">
        <f t="shared" si="43"/>
        <v>0</v>
      </c>
    </row>
    <row r="311" spans="3:17" ht="17.25">
      <c r="C311" s="561">
        <v>13</v>
      </c>
      <c r="D311" s="137" t="s">
        <v>621</v>
      </c>
      <c r="E311" s="148"/>
      <c r="F311" s="138" t="s">
        <v>445</v>
      </c>
      <c r="G311" s="155">
        <v>9</v>
      </c>
      <c r="H311" s="163">
        <v>2017</v>
      </c>
      <c r="I311" s="135">
        <v>990</v>
      </c>
      <c r="J311" s="600">
        <f t="shared" si="40"/>
        <v>100</v>
      </c>
      <c r="K311" s="600">
        <f t="shared" si="41"/>
        <v>0</v>
      </c>
      <c r="L311" s="592"/>
      <c r="M311" s="592"/>
      <c r="N311" s="600">
        <f t="shared" si="42"/>
        <v>0</v>
      </c>
      <c r="O311" s="592"/>
      <c r="P311" s="592"/>
      <c r="Q311" s="600">
        <f t="shared" si="43"/>
        <v>0</v>
      </c>
    </row>
    <row r="312" spans="3:17" ht="17.25">
      <c r="C312" s="561">
        <v>14</v>
      </c>
      <c r="D312" s="137" t="s">
        <v>622</v>
      </c>
      <c r="E312" s="148"/>
      <c r="F312" s="138" t="s">
        <v>445</v>
      </c>
      <c r="G312" s="155">
        <v>4</v>
      </c>
      <c r="H312" s="163">
        <v>2018</v>
      </c>
      <c r="I312" s="135">
        <v>447.96</v>
      </c>
      <c r="J312" s="600">
        <f t="shared" si="40"/>
        <v>87.5</v>
      </c>
      <c r="K312" s="600">
        <f t="shared" si="41"/>
        <v>55.995000000000005</v>
      </c>
      <c r="L312" s="592"/>
      <c r="M312" s="592"/>
      <c r="N312" s="600">
        <f t="shared" si="42"/>
        <v>0</v>
      </c>
      <c r="O312" s="592"/>
      <c r="P312" s="592"/>
      <c r="Q312" s="600">
        <f t="shared" si="43"/>
        <v>0</v>
      </c>
    </row>
    <row r="313" spans="3:17" ht="17.25">
      <c r="C313" s="561">
        <v>15</v>
      </c>
      <c r="D313" s="137" t="s">
        <v>623</v>
      </c>
      <c r="E313" s="148"/>
      <c r="F313" s="133" t="s">
        <v>445</v>
      </c>
      <c r="G313" s="155">
        <v>1</v>
      </c>
      <c r="H313" s="163">
        <v>2018</v>
      </c>
      <c r="I313" s="135">
        <v>129</v>
      </c>
      <c r="J313" s="600">
        <f t="shared" si="40"/>
        <v>87.5</v>
      </c>
      <c r="K313" s="600">
        <f t="shared" si="41"/>
        <v>16.125</v>
      </c>
      <c r="L313" s="592"/>
      <c r="M313" s="592"/>
      <c r="N313" s="600">
        <f t="shared" si="42"/>
        <v>0</v>
      </c>
      <c r="O313" s="592"/>
      <c r="P313" s="592"/>
      <c r="Q313" s="600">
        <f t="shared" si="43"/>
        <v>0</v>
      </c>
    </row>
    <row r="314" spans="3:17" ht="17.25">
      <c r="C314" s="561">
        <v>16</v>
      </c>
      <c r="D314" s="137" t="s">
        <v>624</v>
      </c>
      <c r="E314" s="148"/>
      <c r="F314" s="133" t="s">
        <v>445</v>
      </c>
      <c r="G314" s="154">
        <v>4</v>
      </c>
      <c r="H314" s="137">
        <v>2020</v>
      </c>
      <c r="I314" s="135">
        <v>798</v>
      </c>
      <c r="J314" s="600">
        <f t="shared" si="40"/>
        <v>62.5</v>
      </c>
      <c r="K314" s="600">
        <f t="shared" si="41"/>
        <v>299.25</v>
      </c>
      <c r="L314" s="592"/>
      <c r="M314" s="592"/>
      <c r="N314" s="600">
        <f t="shared" si="42"/>
        <v>0</v>
      </c>
      <c r="O314" s="592"/>
      <c r="P314" s="592"/>
      <c r="Q314" s="600">
        <f t="shared" si="43"/>
        <v>0</v>
      </c>
    </row>
    <row r="315" spans="3:17" ht="17.25">
      <c r="C315" s="561">
        <v>17</v>
      </c>
      <c r="D315" s="137" t="s">
        <v>625</v>
      </c>
      <c r="E315" s="148"/>
      <c r="F315" s="133" t="s">
        <v>445</v>
      </c>
      <c r="G315" s="155">
        <v>1</v>
      </c>
      <c r="H315" s="137">
        <v>2018</v>
      </c>
      <c r="I315" s="135">
        <v>235.98</v>
      </c>
      <c r="J315" s="600">
        <f t="shared" si="40"/>
        <v>87.5</v>
      </c>
      <c r="K315" s="600">
        <f t="shared" si="41"/>
        <v>29.497500000000002</v>
      </c>
      <c r="L315" s="592"/>
      <c r="M315" s="592"/>
      <c r="N315" s="600">
        <f t="shared" si="42"/>
        <v>0</v>
      </c>
      <c r="O315" s="592"/>
      <c r="P315" s="592"/>
      <c r="Q315" s="600">
        <f t="shared" si="43"/>
        <v>0</v>
      </c>
    </row>
    <row r="316" spans="3:17" ht="17.25">
      <c r="C316" s="561">
        <v>18</v>
      </c>
      <c r="D316" s="137" t="s">
        <v>626</v>
      </c>
      <c r="E316" s="148"/>
      <c r="F316" s="158" t="s">
        <v>445</v>
      </c>
      <c r="G316" s="155">
        <v>1</v>
      </c>
      <c r="H316" s="137">
        <v>2015</v>
      </c>
      <c r="I316" s="135">
        <v>430.2283</v>
      </c>
      <c r="J316" s="600">
        <f t="shared" si="40"/>
        <v>100</v>
      </c>
      <c r="K316" s="600">
        <f t="shared" si="41"/>
        <v>0</v>
      </c>
      <c r="L316" s="592"/>
      <c r="M316" s="592"/>
      <c r="N316" s="600">
        <f t="shared" si="42"/>
        <v>0</v>
      </c>
      <c r="O316" s="592"/>
      <c r="P316" s="592"/>
      <c r="Q316" s="600">
        <f t="shared" si="43"/>
        <v>0</v>
      </c>
    </row>
    <row r="317" spans="3:17" ht="17.25">
      <c r="C317" s="561">
        <v>19</v>
      </c>
      <c r="D317" s="137" t="s">
        <v>626</v>
      </c>
      <c r="E317" s="148"/>
      <c r="F317" s="138" t="s">
        <v>445</v>
      </c>
      <c r="G317" s="155">
        <v>3</v>
      </c>
      <c r="H317" s="137">
        <v>2015</v>
      </c>
      <c r="I317" s="135">
        <v>1346.63943</v>
      </c>
      <c r="J317" s="600">
        <f t="shared" si="40"/>
        <v>100</v>
      </c>
      <c r="K317" s="600">
        <f t="shared" si="41"/>
        <v>0</v>
      </c>
      <c r="L317" s="592"/>
      <c r="M317" s="592"/>
      <c r="N317" s="600">
        <f t="shared" si="42"/>
        <v>0</v>
      </c>
      <c r="O317" s="592"/>
      <c r="P317" s="592"/>
      <c r="Q317" s="600">
        <f t="shared" si="43"/>
        <v>0</v>
      </c>
    </row>
    <row r="318" spans="3:17" ht="17.25">
      <c r="C318" s="561">
        <v>20</v>
      </c>
      <c r="D318" s="163" t="s">
        <v>627</v>
      </c>
      <c r="E318" s="148"/>
      <c r="F318" s="138" t="s">
        <v>445</v>
      </c>
      <c r="G318" s="155">
        <v>1</v>
      </c>
      <c r="H318" s="163">
        <v>2009</v>
      </c>
      <c r="I318" s="135">
        <v>7.916</v>
      </c>
      <c r="J318" s="600">
        <f t="shared" si="40"/>
        <v>100</v>
      </c>
      <c r="K318" s="600">
        <f t="shared" si="41"/>
        <v>0</v>
      </c>
      <c r="L318" s="592"/>
      <c r="M318" s="592"/>
      <c r="N318" s="600">
        <f t="shared" si="42"/>
        <v>0</v>
      </c>
      <c r="O318" s="592"/>
      <c r="P318" s="592"/>
      <c r="Q318" s="600">
        <f t="shared" si="43"/>
        <v>0</v>
      </c>
    </row>
    <row r="319" spans="3:17" ht="17.25">
      <c r="C319" s="561">
        <v>21</v>
      </c>
      <c r="D319" s="163" t="s">
        <v>628</v>
      </c>
      <c r="E319" s="148"/>
      <c r="F319" s="138" t="s">
        <v>445</v>
      </c>
      <c r="G319" s="154">
        <v>1</v>
      </c>
      <c r="H319" s="163">
        <v>2008</v>
      </c>
      <c r="I319" s="135">
        <v>9</v>
      </c>
      <c r="J319" s="600">
        <f t="shared" si="40"/>
        <v>100</v>
      </c>
      <c r="K319" s="600">
        <f t="shared" si="41"/>
        <v>0</v>
      </c>
      <c r="L319" s="592"/>
      <c r="M319" s="592"/>
      <c r="N319" s="600">
        <f t="shared" si="42"/>
        <v>0</v>
      </c>
      <c r="O319" s="592"/>
      <c r="P319" s="592"/>
      <c r="Q319" s="600">
        <f t="shared" si="43"/>
        <v>0</v>
      </c>
    </row>
    <row r="320" spans="3:17" ht="17.25">
      <c r="C320" s="561">
        <v>22</v>
      </c>
      <c r="D320" s="137" t="s">
        <v>629</v>
      </c>
      <c r="E320" s="148"/>
      <c r="F320" s="138" t="s">
        <v>445</v>
      </c>
      <c r="G320" s="155">
        <v>1</v>
      </c>
      <c r="H320" s="163">
        <v>2011</v>
      </c>
      <c r="I320" s="135">
        <v>9.07694</v>
      </c>
      <c r="J320" s="600">
        <f t="shared" si="40"/>
        <v>100</v>
      </c>
      <c r="K320" s="600">
        <f t="shared" si="41"/>
        <v>0</v>
      </c>
      <c r="L320" s="592"/>
      <c r="M320" s="592"/>
      <c r="N320" s="600">
        <f t="shared" si="42"/>
        <v>0</v>
      </c>
      <c r="O320" s="592"/>
      <c r="P320" s="592"/>
      <c r="Q320" s="600">
        <f t="shared" si="43"/>
        <v>0</v>
      </c>
    </row>
    <row r="321" spans="3:17" ht="17.25">
      <c r="C321" s="561">
        <v>23</v>
      </c>
      <c r="D321" s="137" t="s">
        <v>630</v>
      </c>
      <c r="E321" s="148"/>
      <c r="F321" s="138" t="s">
        <v>445</v>
      </c>
      <c r="G321" s="155">
        <v>2</v>
      </c>
      <c r="H321" s="163">
        <v>2003</v>
      </c>
      <c r="I321" s="135">
        <v>20</v>
      </c>
      <c r="J321" s="600">
        <f t="shared" si="40"/>
        <v>100</v>
      </c>
      <c r="K321" s="600">
        <f t="shared" si="41"/>
        <v>0</v>
      </c>
      <c r="L321" s="592"/>
      <c r="M321" s="592"/>
      <c r="N321" s="600">
        <f t="shared" si="42"/>
        <v>0</v>
      </c>
      <c r="O321" s="592"/>
      <c r="P321" s="592"/>
      <c r="Q321" s="600">
        <f t="shared" si="43"/>
        <v>0</v>
      </c>
    </row>
    <row r="322" spans="3:17" ht="17.25">
      <c r="C322" s="561">
        <v>24</v>
      </c>
      <c r="D322" s="137" t="s">
        <v>631</v>
      </c>
      <c r="E322" s="148"/>
      <c r="F322" s="138" t="s">
        <v>445</v>
      </c>
      <c r="G322" s="169">
        <v>1</v>
      </c>
      <c r="H322" s="163">
        <v>2008</v>
      </c>
      <c r="I322" s="135">
        <v>10</v>
      </c>
      <c r="J322" s="600">
        <f t="shared" si="40"/>
        <v>100</v>
      </c>
      <c r="K322" s="600">
        <f t="shared" si="41"/>
        <v>0</v>
      </c>
      <c r="L322" s="592"/>
      <c r="M322" s="592"/>
      <c r="N322" s="600">
        <f t="shared" si="42"/>
        <v>0</v>
      </c>
      <c r="O322" s="592"/>
      <c r="P322" s="592"/>
      <c r="Q322" s="600">
        <f t="shared" si="43"/>
        <v>0</v>
      </c>
    </row>
    <row r="323" spans="3:17" ht="17.25">
      <c r="C323" s="561">
        <v>25</v>
      </c>
      <c r="D323" s="137" t="s">
        <v>632</v>
      </c>
      <c r="E323" s="148"/>
      <c r="F323" s="138" t="s">
        <v>445</v>
      </c>
      <c r="G323" s="169">
        <v>1</v>
      </c>
      <c r="H323" s="163">
        <v>2012</v>
      </c>
      <c r="I323" s="135">
        <v>11.3435</v>
      </c>
      <c r="J323" s="600">
        <f t="shared" si="40"/>
        <v>100</v>
      </c>
      <c r="K323" s="600">
        <f t="shared" si="41"/>
        <v>0</v>
      </c>
      <c r="L323" s="592"/>
      <c r="M323" s="592"/>
      <c r="N323" s="600">
        <f t="shared" si="42"/>
        <v>0</v>
      </c>
      <c r="O323" s="592"/>
      <c r="P323" s="592"/>
      <c r="Q323" s="600">
        <f t="shared" si="43"/>
        <v>0</v>
      </c>
    </row>
    <row r="324" spans="3:17" ht="17.25">
      <c r="C324" s="561">
        <v>26</v>
      </c>
      <c r="D324" s="137" t="s">
        <v>633</v>
      </c>
      <c r="E324" s="148"/>
      <c r="F324" s="138" t="s">
        <v>445</v>
      </c>
      <c r="G324" s="155">
        <v>1</v>
      </c>
      <c r="H324" s="163">
        <v>2011</v>
      </c>
      <c r="I324" s="135">
        <v>14.3336</v>
      </c>
      <c r="J324" s="600">
        <f t="shared" si="40"/>
        <v>100</v>
      </c>
      <c r="K324" s="600">
        <f t="shared" si="41"/>
        <v>0</v>
      </c>
      <c r="L324" s="592"/>
      <c r="M324" s="592"/>
      <c r="N324" s="600">
        <f t="shared" si="42"/>
        <v>0</v>
      </c>
      <c r="O324" s="592"/>
      <c r="P324" s="592"/>
      <c r="Q324" s="600">
        <f t="shared" si="43"/>
        <v>0</v>
      </c>
    </row>
    <row r="325" spans="3:17" ht="17.25">
      <c r="C325" s="561">
        <v>27</v>
      </c>
      <c r="D325" s="171" t="s">
        <v>634</v>
      </c>
      <c r="E325" s="148"/>
      <c r="F325" s="138" t="s">
        <v>445</v>
      </c>
      <c r="G325" s="172">
        <v>2</v>
      </c>
      <c r="H325" s="173">
        <v>2008</v>
      </c>
      <c r="I325" s="135">
        <v>30</v>
      </c>
      <c r="J325" s="600">
        <f t="shared" si="40"/>
        <v>100</v>
      </c>
      <c r="K325" s="600">
        <f t="shared" si="41"/>
        <v>0</v>
      </c>
      <c r="L325" s="592"/>
      <c r="M325" s="592"/>
      <c r="N325" s="600">
        <f t="shared" si="42"/>
        <v>0</v>
      </c>
      <c r="O325" s="592"/>
      <c r="P325" s="592"/>
      <c r="Q325" s="600">
        <f t="shared" si="43"/>
        <v>0</v>
      </c>
    </row>
    <row r="326" spans="3:17" ht="17.25">
      <c r="C326" s="561">
        <v>28</v>
      </c>
      <c r="D326" s="163" t="s">
        <v>635</v>
      </c>
      <c r="E326" s="148"/>
      <c r="F326" s="138" t="s">
        <v>445</v>
      </c>
      <c r="G326" s="154">
        <v>1</v>
      </c>
      <c r="H326" s="163">
        <v>2007</v>
      </c>
      <c r="I326" s="135">
        <v>15</v>
      </c>
      <c r="J326" s="600">
        <f t="shared" si="40"/>
        <v>100</v>
      </c>
      <c r="K326" s="600">
        <f t="shared" si="41"/>
        <v>0</v>
      </c>
      <c r="L326" s="592"/>
      <c r="M326" s="592"/>
      <c r="N326" s="600">
        <f t="shared" si="42"/>
        <v>0</v>
      </c>
      <c r="O326" s="592"/>
      <c r="P326" s="592"/>
      <c r="Q326" s="600">
        <f t="shared" si="43"/>
        <v>0</v>
      </c>
    </row>
    <row r="327" spans="3:17" ht="17.25">
      <c r="C327" s="561">
        <v>29</v>
      </c>
      <c r="D327" s="163" t="s">
        <v>636</v>
      </c>
      <c r="E327" s="148"/>
      <c r="F327" s="138" t="s">
        <v>445</v>
      </c>
      <c r="G327" s="154">
        <v>1</v>
      </c>
      <c r="H327" s="163">
        <v>2011</v>
      </c>
      <c r="I327" s="135">
        <v>15.4191</v>
      </c>
      <c r="J327" s="600">
        <f t="shared" si="40"/>
        <v>100</v>
      </c>
      <c r="K327" s="600">
        <f t="shared" si="41"/>
        <v>0</v>
      </c>
      <c r="L327" s="592"/>
      <c r="M327" s="592"/>
      <c r="N327" s="600">
        <f t="shared" si="42"/>
        <v>0</v>
      </c>
      <c r="O327" s="592"/>
      <c r="P327" s="592"/>
      <c r="Q327" s="600">
        <f t="shared" si="43"/>
        <v>0</v>
      </c>
    </row>
    <row r="328" spans="3:17" ht="17.25">
      <c r="C328" s="561">
        <v>30</v>
      </c>
      <c r="D328" s="163" t="s">
        <v>637</v>
      </c>
      <c r="E328" s="148"/>
      <c r="F328" s="138" t="s">
        <v>445</v>
      </c>
      <c r="G328" s="154">
        <v>1</v>
      </c>
      <c r="H328" s="163">
        <v>2011</v>
      </c>
      <c r="I328" s="135">
        <v>17.84612</v>
      </c>
      <c r="J328" s="600">
        <f t="shared" si="40"/>
        <v>100</v>
      </c>
      <c r="K328" s="600">
        <f t="shared" si="41"/>
        <v>0</v>
      </c>
      <c r="L328" s="592"/>
      <c r="M328" s="592"/>
      <c r="N328" s="600">
        <f t="shared" si="42"/>
        <v>0</v>
      </c>
      <c r="O328" s="592"/>
      <c r="P328" s="592"/>
      <c r="Q328" s="600">
        <f t="shared" si="43"/>
        <v>0</v>
      </c>
    </row>
    <row r="329" spans="3:17" ht="17.25">
      <c r="C329" s="561">
        <v>31</v>
      </c>
      <c r="D329" s="163" t="s">
        <v>638</v>
      </c>
      <c r="E329" s="148"/>
      <c r="F329" s="138" t="s">
        <v>445</v>
      </c>
      <c r="G329" s="155">
        <v>2</v>
      </c>
      <c r="H329" s="163">
        <v>2007</v>
      </c>
      <c r="I329" s="135">
        <v>40</v>
      </c>
      <c r="J329" s="600">
        <f t="shared" si="40"/>
        <v>100</v>
      </c>
      <c r="K329" s="600">
        <f t="shared" si="41"/>
        <v>0</v>
      </c>
      <c r="L329" s="592"/>
      <c r="M329" s="592"/>
      <c r="N329" s="600">
        <f t="shared" si="42"/>
        <v>0</v>
      </c>
      <c r="O329" s="592"/>
      <c r="P329" s="592"/>
      <c r="Q329" s="600">
        <f t="shared" si="43"/>
        <v>0</v>
      </c>
    </row>
    <row r="330" spans="3:17" ht="17.25">
      <c r="C330" s="561">
        <v>32</v>
      </c>
      <c r="D330" s="163" t="s">
        <v>639</v>
      </c>
      <c r="E330" s="148"/>
      <c r="F330" s="138" t="s">
        <v>445</v>
      </c>
      <c r="G330" s="155">
        <v>2</v>
      </c>
      <c r="H330" s="163">
        <v>2018</v>
      </c>
      <c r="I330" s="135">
        <v>40</v>
      </c>
      <c r="J330" s="600">
        <f t="shared" si="40"/>
        <v>87.5</v>
      </c>
      <c r="K330" s="600">
        <f t="shared" si="41"/>
        <v>5</v>
      </c>
      <c r="L330" s="592"/>
      <c r="M330" s="592"/>
      <c r="N330" s="600">
        <f t="shared" si="42"/>
        <v>0</v>
      </c>
      <c r="O330" s="592"/>
      <c r="P330" s="592"/>
      <c r="Q330" s="600">
        <f t="shared" si="43"/>
        <v>0</v>
      </c>
    </row>
    <row r="331" spans="3:17" ht="17.25">
      <c r="C331" s="561">
        <v>33</v>
      </c>
      <c r="D331" s="163" t="s">
        <v>640</v>
      </c>
      <c r="E331" s="148"/>
      <c r="F331" s="138" t="s">
        <v>445</v>
      </c>
      <c r="G331" s="155">
        <v>3</v>
      </c>
      <c r="H331" s="163">
        <v>2008</v>
      </c>
      <c r="I331" s="135">
        <v>120</v>
      </c>
      <c r="J331" s="600">
        <f aca="true" t="shared" si="44" ref="J331:J353">IF(($J$14-H331)*J$298&gt;100,100,($J$14-H331)*J$298)</f>
        <v>100</v>
      </c>
      <c r="K331" s="600">
        <f t="shared" si="41"/>
        <v>0</v>
      </c>
      <c r="L331" s="592"/>
      <c r="M331" s="592"/>
      <c r="N331" s="600">
        <f t="shared" si="42"/>
        <v>0</v>
      </c>
      <c r="O331" s="592"/>
      <c r="P331" s="592"/>
      <c r="Q331" s="600">
        <f t="shared" si="43"/>
        <v>0</v>
      </c>
    </row>
    <row r="332" spans="3:17" ht="17.25">
      <c r="C332" s="561">
        <v>34</v>
      </c>
      <c r="D332" s="163" t="s">
        <v>641</v>
      </c>
      <c r="E332" s="148"/>
      <c r="F332" s="138" t="s">
        <v>445</v>
      </c>
      <c r="G332" s="155">
        <v>1</v>
      </c>
      <c r="H332" s="163">
        <v>2008</v>
      </c>
      <c r="I332" s="135">
        <v>40</v>
      </c>
      <c r="J332" s="600">
        <f t="shared" si="44"/>
        <v>100</v>
      </c>
      <c r="K332" s="600">
        <f t="shared" si="41"/>
        <v>0</v>
      </c>
      <c r="L332" s="592"/>
      <c r="M332" s="592"/>
      <c r="N332" s="600">
        <f t="shared" si="42"/>
        <v>0</v>
      </c>
      <c r="O332" s="592"/>
      <c r="P332" s="592"/>
      <c r="Q332" s="600">
        <f t="shared" si="43"/>
        <v>0</v>
      </c>
    </row>
    <row r="333" spans="3:17" ht="17.25">
      <c r="C333" s="561">
        <v>35</v>
      </c>
      <c r="D333" s="163" t="s">
        <v>642</v>
      </c>
      <c r="E333" s="148"/>
      <c r="F333" s="138" t="s">
        <v>445</v>
      </c>
      <c r="G333" s="155">
        <v>1</v>
      </c>
      <c r="H333" s="163">
        <v>2020</v>
      </c>
      <c r="I333" s="135">
        <v>45.99</v>
      </c>
      <c r="J333" s="600">
        <f t="shared" si="44"/>
        <v>62.5</v>
      </c>
      <c r="K333" s="600">
        <f t="shared" si="41"/>
        <v>17.24625</v>
      </c>
      <c r="L333" s="592"/>
      <c r="M333" s="592"/>
      <c r="N333" s="600">
        <f t="shared" si="42"/>
        <v>0</v>
      </c>
      <c r="O333" s="592"/>
      <c r="P333" s="592"/>
      <c r="Q333" s="600">
        <f t="shared" si="43"/>
        <v>0</v>
      </c>
    </row>
    <row r="334" spans="3:17" ht="30">
      <c r="C334" s="561">
        <v>36</v>
      </c>
      <c r="D334" s="163" t="s">
        <v>643</v>
      </c>
      <c r="E334" s="148"/>
      <c r="F334" s="138" t="s">
        <v>445</v>
      </c>
      <c r="G334" s="155">
        <v>2</v>
      </c>
      <c r="H334" s="163">
        <v>2021</v>
      </c>
      <c r="I334" s="135">
        <v>98</v>
      </c>
      <c r="J334" s="600">
        <f t="shared" si="44"/>
        <v>50</v>
      </c>
      <c r="K334" s="600">
        <f t="shared" si="41"/>
        <v>49</v>
      </c>
      <c r="L334" s="592"/>
      <c r="M334" s="592"/>
      <c r="N334" s="600">
        <f t="shared" si="42"/>
        <v>0</v>
      </c>
      <c r="O334" s="592"/>
      <c r="P334" s="592"/>
      <c r="Q334" s="600">
        <f t="shared" si="43"/>
        <v>0</v>
      </c>
    </row>
    <row r="335" spans="3:17" ht="17.25">
      <c r="C335" s="561">
        <v>37</v>
      </c>
      <c r="D335" s="137" t="s">
        <v>644</v>
      </c>
      <c r="E335" s="148"/>
      <c r="F335" s="138" t="s">
        <v>445</v>
      </c>
      <c r="G335" s="155">
        <v>1</v>
      </c>
      <c r="H335" s="163">
        <v>2008</v>
      </c>
      <c r="I335" s="135">
        <v>50</v>
      </c>
      <c r="J335" s="600">
        <f t="shared" si="44"/>
        <v>100</v>
      </c>
      <c r="K335" s="600">
        <f t="shared" si="41"/>
        <v>0</v>
      </c>
      <c r="L335" s="592"/>
      <c r="M335" s="592"/>
      <c r="N335" s="600">
        <f t="shared" si="42"/>
        <v>0</v>
      </c>
      <c r="O335" s="592"/>
      <c r="P335" s="592"/>
      <c r="Q335" s="600">
        <f t="shared" si="43"/>
        <v>0</v>
      </c>
    </row>
    <row r="336" spans="3:17" ht="17.25">
      <c r="C336" s="561">
        <v>38</v>
      </c>
      <c r="D336" s="137" t="s">
        <v>645</v>
      </c>
      <c r="E336" s="148"/>
      <c r="F336" s="138" t="s">
        <v>445</v>
      </c>
      <c r="G336" s="155">
        <v>1</v>
      </c>
      <c r="H336" s="163">
        <v>2007</v>
      </c>
      <c r="I336" s="135">
        <v>50</v>
      </c>
      <c r="J336" s="600">
        <f t="shared" si="44"/>
        <v>100</v>
      </c>
      <c r="K336" s="600">
        <f t="shared" si="41"/>
        <v>0</v>
      </c>
      <c r="L336" s="592"/>
      <c r="M336" s="592"/>
      <c r="N336" s="600">
        <f t="shared" si="42"/>
        <v>0</v>
      </c>
      <c r="O336" s="592"/>
      <c r="P336" s="592"/>
      <c r="Q336" s="600">
        <f t="shared" si="43"/>
        <v>0</v>
      </c>
    </row>
    <row r="337" spans="3:17" ht="17.25">
      <c r="C337" s="561">
        <v>39</v>
      </c>
      <c r="D337" s="137" t="s">
        <v>646</v>
      </c>
      <c r="E337" s="148"/>
      <c r="F337" s="138" t="s">
        <v>445</v>
      </c>
      <c r="G337" s="155">
        <v>1</v>
      </c>
      <c r="H337" s="163">
        <v>2009</v>
      </c>
      <c r="I337" s="135">
        <v>77.084</v>
      </c>
      <c r="J337" s="600">
        <f t="shared" si="44"/>
        <v>100</v>
      </c>
      <c r="K337" s="600">
        <f t="shared" si="41"/>
        <v>0</v>
      </c>
      <c r="L337" s="592"/>
      <c r="M337" s="592"/>
      <c r="N337" s="600">
        <f t="shared" si="42"/>
        <v>0</v>
      </c>
      <c r="O337" s="592"/>
      <c r="P337" s="592"/>
      <c r="Q337" s="600">
        <f t="shared" si="43"/>
        <v>0</v>
      </c>
    </row>
    <row r="338" spans="3:17" ht="17.25">
      <c r="C338" s="561">
        <v>40</v>
      </c>
      <c r="D338" s="137" t="s">
        <v>647</v>
      </c>
      <c r="E338" s="148"/>
      <c r="F338" s="138" t="s">
        <v>445</v>
      </c>
      <c r="G338" s="154">
        <v>1</v>
      </c>
      <c r="H338" s="163">
        <v>2002</v>
      </c>
      <c r="I338" s="135">
        <v>80</v>
      </c>
      <c r="J338" s="600">
        <f t="shared" si="44"/>
        <v>100</v>
      </c>
      <c r="K338" s="600">
        <f t="shared" si="41"/>
        <v>0</v>
      </c>
      <c r="L338" s="592"/>
      <c r="M338" s="592"/>
      <c r="N338" s="600">
        <f t="shared" si="42"/>
        <v>0</v>
      </c>
      <c r="O338" s="592"/>
      <c r="P338" s="592"/>
      <c r="Q338" s="600">
        <f t="shared" si="43"/>
        <v>0</v>
      </c>
    </row>
    <row r="339" spans="3:17" ht="17.25">
      <c r="C339" s="561">
        <v>41</v>
      </c>
      <c r="D339" s="137" t="s">
        <v>648</v>
      </c>
      <c r="E339" s="148"/>
      <c r="F339" s="138" t="s">
        <v>445</v>
      </c>
      <c r="G339" s="154">
        <v>4</v>
      </c>
      <c r="H339" s="163">
        <v>2008</v>
      </c>
      <c r="I339" s="135">
        <v>320</v>
      </c>
      <c r="J339" s="600">
        <f t="shared" si="44"/>
        <v>100</v>
      </c>
      <c r="K339" s="600">
        <f t="shared" si="41"/>
        <v>0</v>
      </c>
      <c r="L339" s="592"/>
      <c r="M339" s="592"/>
      <c r="N339" s="600">
        <f t="shared" si="42"/>
        <v>0</v>
      </c>
      <c r="O339" s="592"/>
      <c r="P339" s="592"/>
      <c r="Q339" s="600">
        <f t="shared" si="43"/>
        <v>0</v>
      </c>
    </row>
    <row r="340" spans="3:17" ht="17.25">
      <c r="C340" s="561">
        <v>42</v>
      </c>
      <c r="D340" s="137" t="s">
        <v>649</v>
      </c>
      <c r="E340" s="148"/>
      <c r="F340" s="138" t="s">
        <v>445</v>
      </c>
      <c r="G340" s="154">
        <v>1</v>
      </c>
      <c r="H340" s="163">
        <v>2021</v>
      </c>
      <c r="I340" s="135">
        <v>99.7</v>
      </c>
      <c r="J340" s="600">
        <f t="shared" si="44"/>
        <v>50</v>
      </c>
      <c r="K340" s="600">
        <f t="shared" si="41"/>
        <v>49.85</v>
      </c>
      <c r="L340" s="592"/>
      <c r="M340" s="592"/>
      <c r="N340" s="600">
        <f t="shared" si="42"/>
        <v>0</v>
      </c>
      <c r="O340" s="592"/>
      <c r="P340" s="592"/>
      <c r="Q340" s="600">
        <f t="shared" si="43"/>
        <v>0</v>
      </c>
    </row>
    <row r="341" spans="3:17" ht="17.25">
      <c r="C341" s="561">
        <v>43</v>
      </c>
      <c r="D341" s="137" t="s">
        <v>650</v>
      </c>
      <c r="E341" s="148"/>
      <c r="F341" s="138" t="s">
        <v>445</v>
      </c>
      <c r="G341" s="155">
        <v>1</v>
      </c>
      <c r="H341" s="163">
        <v>2016</v>
      </c>
      <c r="I341" s="135">
        <v>113.95204</v>
      </c>
      <c r="J341" s="600">
        <f t="shared" si="44"/>
        <v>100</v>
      </c>
      <c r="K341" s="600">
        <f t="shared" si="41"/>
        <v>0</v>
      </c>
      <c r="L341" s="592"/>
      <c r="M341" s="592"/>
      <c r="N341" s="600">
        <f t="shared" si="42"/>
        <v>0</v>
      </c>
      <c r="O341" s="592"/>
      <c r="P341" s="592"/>
      <c r="Q341" s="600">
        <f t="shared" si="43"/>
        <v>0</v>
      </c>
    </row>
    <row r="342" spans="3:17" ht="17.25">
      <c r="C342" s="561">
        <v>44</v>
      </c>
      <c r="D342" s="137" t="s">
        <v>651</v>
      </c>
      <c r="E342" s="148"/>
      <c r="F342" s="138" t="s">
        <v>445</v>
      </c>
      <c r="G342" s="155">
        <v>1</v>
      </c>
      <c r="H342" s="163">
        <v>2008</v>
      </c>
      <c r="I342" s="135">
        <v>120</v>
      </c>
      <c r="J342" s="600">
        <f t="shared" si="44"/>
        <v>100</v>
      </c>
      <c r="K342" s="600">
        <f t="shared" si="41"/>
        <v>0</v>
      </c>
      <c r="L342" s="592"/>
      <c r="M342" s="592"/>
      <c r="N342" s="600">
        <f t="shared" si="42"/>
        <v>0</v>
      </c>
      <c r="O342" s="592"/>
      <c r="P342" s="592"/>
      <c r="Q342" s="600">
        <f t="shared" si="43"/>
        <v>0</v>
      </c>
    </row>
    <row r="343" spans="3:17" ht="17.25">
      <c r="C343" s="561">
        <v>45</v>
      </c>
      <c r="D343" s="137" t="s">
        <v>652</v>
      </c>
      <c r="E343" s="148"/>
      <c r="F343" s="138" t="s">
        <v>445</v>
      </c>
      <c r="G343" s="155">
        <v>1</v>
      </c>
      <c r="H343" s="163">
        <v>2007</v>
      </c>
      <c r="I343" s="135">
        <v>300</v>
      </c>
      <c r="J343" s="600">
        <f t="shared" si="44"/>
        <v>100</v>
      </c>
      <c r="K343" s="600">
        <f t="shared" si="41"/>
        <v>0</v>
      </c>
      <c r="L343" s="592"/>
      <c r="M343" s="592"/>
      <c r="N343" s="600">
        <f t="shared" si="42"/>
        <v>0</v>
      </c>
      <c r="O343" s="592"/>
      <c r="P343" s="592"/>
      <c r="Q343" s="600">
        <f t="shared" si="43"/>
        <v>0</v>
      </c>
    </row>
    <row r="344" spans="3:17" ht="17.25">
      <c r="C344" s="561">
        <v>46</v>
      </c>
      <c r="D344" s="137" t="s">
        <v>653</v>
      </c>
      <c r="E344" s="148"/>
      <c r="F344" s="138" t="s">
        <v>445</v>
      </c>
      <c r="G344" s="155">
        <v>1</v>
      </c>
      <c r="H344" s="163">
        <v>2018</v>
      </c>
      <c r="I344" s="135">
        <v>308.75</v>
      </c>
      <c r="J344" s="600">
        <f t="shared" si="44"/>
        <v>87.5</v>
      </c>
      <c r="K344" s="600">
        <f t="shared" si="41"/>
        <v>38.59375</v>
      </c>
      <c r="L344" s="592"/>
      <c r="M344" s="592"/>
      <c r="N344" s="600">
        <f t="shared" si="42"/>
        <v>0</v>
      </c>
      <c r="O344" s="592"/>
      <c r="P344" s="592"/>
      <c r="Q344" s="600">
        <f t="shared" si="43"/>
        <v>0</v>
      </c>
    </row>
    <row r="345" spans="3:17" ht="17.25">
      <c r="C345" s="561">
        <v>47</v>
      </c>
      <c r="D345" s="137" t="s">
        <v>654</v>
      </c>
      <c r="E345" s="148"/>
      <c r="F345" s="138" t="s">
        <v>445</v>
      </c>
      <c r="G345" s="155">
        <v>1</v>
      </c>
      <c r="H345" s="163">
        <v>2015</v>
      </c>
      <c r="I345" s="135">
        <v>373.35</v>
      </c>
      <c r="J345" s="600">
        <f t="shared" si="44"/>
        <v>100</v>
      </c>
      <c r="K345" s="600">
        <f t="shared" si="41"/>
        <v>0</v>
      </c>
      <c r="L345" s="592"/>
      <c r="M345" s="592"/>
      <c r="N345" s="600">
        <f t="shared" si="42"/>
        <v>0</v>
      </c>
      <c r="O345" s="592"/>
      <c r="P345" s="592"/>
      <c r="Q345" s="600">
        <f t="shared" si="43"/>
        <v>0</v>
      </c>
    </row>
    <row r="346" spans="3:17" ht="17.25">
      <c r="C346" s="561">
        <v>48</v>
      </c>
      <c r="D346" s="152" t="s">
        <v>843</v>
      </c>
      <c r="E346" s="148"/>
      <c r="F346" s="138" t="s">
        <v>445</v>
      </c>
      <c r="G346" s="142">
        <v>2</v>
      </c>
      <c r="H346" s="142">
        <v>2023</v>
      </c>
      <c r="I346" s="135">
        <v>107</v>
      </c>
      <c r="J346" s="600">
        <f t="shared" si="44"/>
        <v>25</v>
      </c>
      <c r="K346" s="600">
        <f t="shared" si="41"/>
        <v>80.25</v>
      </c>
      <c r="L346" s="592"/>
      <c r="M346" s="592"/>
      <c r="N346" s="600">
        <f t="shared" si="42"/>
        <v>0</v>
      </c>
      <c r="O346" s="592"/>
      <c r="P346" s="592"/>
      <c r="Q346" s="600">
        <f t="shared" si="43"/>
        <v>0</v>
      </c>
    </row>
    <row r="347" spans="3:17" ht="17.25">
      <c r="C347" s="561">
        <v>49</v>
      </c>
      <c r="D347" s="152" t="s">
        <v>844</v>
      </c>
      <c r="E347" s="148"/>
      <c r="F347" s="138" t="s">
        <v>445</v>
      </c>
      <c r="G347" s="142">
        <v>8</v>
      </c>
      <c r="H347" s="142">
        <v>2023</v>
      </c>
      <c r="I347" s="135">
        <v>171</v>
      </c>
      <c r="J347" s="600">
        <f t="shared" si="44"/>
        <v>25</v>
      </c>
      <c r="K347" s="600">
        <f t="shared" si="41"/>
        <v>128.25</v>
      </c>
      <c r="L347" s="592"/>
      <c r="M347" s="592"/>
      <c r="N347" s="600">
        <f t="shared" si="42"/>
        <v>0</v>
      </c>
      <c r="O347" s="592"/>
      <c r="P347" s="592"/>
      <c r="Q347" s="600">
        <f t="shared" si="43"/>
        <v>0</v>
      </c>
    </row>
    <row r="348" spans="3:17" ht="17.25">
      <c r="C348" s="561">
        <v>50</v>
      </c>
      <c r="D348" s="152" t="s">
        <v>845</v>
      </c>
      <c r="E348" s="148"/>
      <c r="F348" s="138" t="s">
        <v>445</v>
      </c>
      <c r="G348" s="142">
        <v>2</v>
      </c>
      <c r="H348" s="142">
        <v>2023</v>
      </c>
      <c r="I348" s="135">
        <v>84</v>
      </c>
      <c r="J348" s="600">
        <f t="shared" si="44"/>
        <v>25</v>
      </c>
      <c r="K348" s="600">
        <f t="shared" si="41"/>
        <v>63</v>
      </c>
      <c r="L348" s="592"/>
      <c r="M348" s="592"/>
      <c r="N348" s="600">
        <f t="shared" si="42"/>
        <v>0</v>
      </c>
      <c r="O348" s="592"/>
      <c r="P348" s="592"/>
      <c r="Q348" s="600">
        <f t="shared" si="43"/>
        <v>0</v>
      </c>
    </row>
    <row r="349" spans="3:17" ht="17.25">
      <c r="C349" s="561">
        <v>51</v>
      </c>
      <c r="D349" s="152" t="s">
        <v>846</v>
      </c>
      <c r="E349" s="148"/>
      <c r="F349" s="138" t="s">
        <v>445</v>
      </c>
      <c r="G349" s="142">
        <v>1</v>
      </c>
      <c r="H349" s="142">
        <v>2023</v>
      </c>
      <c r="I349" s="135">
        <v>142</v>
      </c>
      <c r="J349" s="600">
        <f t="shared" si="44"/>
        <v>25</v>
      </c>
      <c r="K349" s="600">
        <f t="shared" si="41"/>
        <v>106.5</v>
      </c>
      <c r="L349" s="592"/>
      <c r="M349" s="592"/>
      <c r="N349" s="600">
        <f t="shared" si="42"/>
        <v>0</v>
      </c>
      <c r="O349" s="592"/>
      <c r="P349" s="592"/>
      <c r="Q349" s="600">
        <f t="shared" si="43"/>
        <v>0</v>
      </c>
    </row>
    <row r="350" spans="3:17" ht="17.25">
      <c r="C350" s="561">
        <v>52</v>
      </c>
      <c r="D350" s="152" t="s">
        <v>847</v>
      </c>
      <c r="E350" s="148"/>
      <c r="F350" s="138" t="s">
        <v>445</v>
      </c>
      <c r="G350" s="142">
        <v>1</v>
      </c>
      <c r="H350" s="142">
        <v>2023</v>
      </c>
      <c r="I350" s="135">
        <v>59</v>
      </c>
      <c r="J350" s="600">
        <f t="shared" si="44"/>
        <v>25</v>
      </c>
      <c r="K350" s="600">
        <f t="shared" si="41"/>
        <v>44.25</v>
      </c>
      <c r="L350" s="592"/>
      <c r="M350" s="592"/>
      <c r="N350" s="600">
        <f t="shared" si="42"/>
        <v>0</v>
      </c>
      <c r="O350" s="592"/>
      <c r="P350" s="592"/>
      <c r="Q350" s="600">
        <f t="shared" si="43"/>
        <v>0</v>
      </c>
    </row>
    <row r="351" spans="3:17" ht="17.25">
      <c r="C351" s="561">
        <v>53</v>
      </c>
      <c r="D351" s="152" t="s">
        <v>848</v>
      </c>
      <c r="E351" s="148"/>
      <c r="F351" s="138" t="s">
        <v>445</v>
      </c>
      <c r="G351" s="142">
        <v>1</v>
      </c>
      <c r="H351" s="142">
        <v>2023</v>
      </c>
      <c r="I351" s="135">
        <v>23</v>
      </c>
      <c r="J351" s="600">
        <f t="shared" si="44"/>
        <v>25</v>
      </c>
      <c r="K351" s="600">
        <f>IF(J351=100,0,I351-I351*J351%)</f>
        <v>17.25</v>
      </c>
      <c r="L351" s="592"/>
      <c r="M351" s="592"/>
      <c r="N351" s="600">
        <f>+L351*M351</f>
        <v>0</v>
      </c>
      <c r="O351" s="592"/>
      <c r="P351" s="592"/>
      <c r="Q351" s="600">
        <f>+O351*P351</f>
        <v>0</v>
      </c>
    </row>
    <row r="352" spans="3:17" ht="17.25">
      <c r="C352" s="561">
        <v>54</v>
      </c>
      <c r="D352" s="616" t="s">
        <v>812</v>
      </c>
      <c r="E352" s="616"/>
      <c r="F352" s="592" t="s">
        <v>445</v>
      </c>
      <c r="G352" s="594"/>
      <c r="H352" s="592"/>
      <c r="I352" s="619"/>
      <c r="J352" s="600">
        <f t="shared" si="44"/>
        <v>100</v>
      </c>
      <c r="K352" s="600">
        <f>IF(J352=100,0,I352-I352*J352%)</f>
        <v>0</v>
      </c>
      <c r="L352" s="605">
        <v>1</v>
      </c>
      <c r="M352" s="634">
        <v>250</v>
      </c>
      <c r="N352" s="600">
        <f>+L352*M352</f>
        <v>250</v>
      </c>
      <c r="O352" s="605"/>
      <c r="P352" s="634"/>
      <c r="Q352" s="600">
        <f>+O352*P352</f>
        <v>0</v>
      </c>
    </row>
    <row r="353" spans="3:17" ht="17.25">
      <c r="C353" s="561">
        <v>55</v>
      </c>
      <c r="D353" s="616"/>
      <c r="E353" s="616"/>
      <c r="F353" s="592" t="s">
        <v>445</v>
      </c>
      <c r="G353" s="594"/>
      <c r="H353" s="592"/>
      <c r="I353" s="619"/>
      <c r="J353" s="600">
        <f t="shared" si="44"/>
        <v>100</v>
      </c>
      <c r="K353" s="600">
        <f>IF(J353=100,0,I353-I353*J353%)</f>
        <v>0</v>
      </c>
      <c r="L353" s="628"/>
      <c r="M353" s="634"/>
      <c r="N353" s="600">
        <f t="shared" si="42"/>
        <v>0</v>
      </c>
      <c r="O353" s="628"/>
      <c r="P353" s="634"/>
      <c r="Q353" s="600">
        <f t="shared" si="43"/>
        <v>0</v>
      </c>
    </row>
    <row r="354" spans="3:17" ht="34.5">
      <c r="C354" s="561"/>
      <c r="D354" s="608" t="s">
        <v>1117</v>
      </c>
      <c r="E354" s="602"/>
      <c r="F354" s="592"/>
      <c r="G354" s="633">
        <f>SUMIF(J299:J353,"&lt;100",G299:G353)</f>
        <v>42</v>
      </c>
      <c r="H354" s="592"/>
      <c r="I354" s="621"/>
      <c r="J354" s="600"/>
      <c r="K354" s="594"/>
      <c r="L354" s="592"/>
      <c r="M354" s="592"/>
      <c r="N354" s="600"/>
      <c r="O354" s="592"/>
      <c r="P354" s="592"/>
      <c r="Q354" s="600"/>
    </row>
    <row r="355" spans="1:17" ht="17.25">
      <c r="A355" s="620"/>
      <c r="B355" s="620"/>
      <c r="C355" s="589">
        <v>629</v>
      </c>
      <c r="D355" s="590" t="s">
        <v>284</v>
      </c>
      <c r="E355" s="591">
        <v>8</v>
      </c>
      <c r="F355" s="592"/>
      <c r="G355" s="598">
        <f>SUM(G356:G373)</f>
        <v>29</v>
      </c>
      <c r="H355" s="592"/>
      <c r="I355" s="621"/>
      <c r="J355" s="591">
        <v>12.5</v>
      </c>
      <c r="K355" s="594"/>
      <c r="L355" s="598">
        <f>SUM(L356:L373)</f>
        <v>0</v>
      </c>
      <c r="M355" s="592"/>
      <c r="N355" s="598">
        <f>SUM(N356:N373)</f>
        <v>0</v>
      </c>
      <c r="O355" s="598">
        <f>SUM(O356:O373)</f>
        <v>0</v>
      </c>
      <c r="P355" s="592"/>
      <c r="Q355" s="598">
        <f>SUM(Q356:Q373)</f>
        <v>0</v>
      </c>
    </row>
    <row r="356" spans="3:17" ht="17.25">
      <c r="C356" s="561">
        <v>1</v>
      </c>
      <c r="D356" s="163" t="s">
        <v>655</v>
      </c>
      <c r="E356" s="148"/>
      <c r="F356" s="133" t="s">
        <v>445</v>
      </c>
      <c r="G356" s="174">
        <v>12</v>
      </c>
      <c r="H356" s="163">
        <v>2018</v>
      </c>
      <c r="I356" s="135">
        <v>240.5088</v>
      </c>
      <c r="J356" s="592">
        <f aca="true" t="shared" si="45" ref="J356:J372">IF(($J$14-H356)*J$355&gt;100,100,($J$14-H356)*J$355)</f>
        <v>87.5</v>
      </c>
      <c r="K356" s="600">
        <f aca="true" t="shared" si="46" ref="K356:K371">IF(J356=100,0,I356-I356*J356%)</f>
        <v>30.063600000000008</v>
      </c>
      <c r="L356" s="592"/>
      <c r="M356" s="592"/>
      <c r="N356" s="600">
        <f t="shared" si="42"/>
        <v>0</v>
      </c>
      <c r="O356" s="592"/>
      <c r="P356" s="592"/>
      <c r="Q356" s="600">
        <f aca="true" t="shared" si="47" ref="Q356:Q373">+O356*P356</f>
        <v>0</v>
      </c>
    </row>
    <row r="357" spans="3:17" ht="17.25">
      <c r="C357" s="561">
        <v>2</v>
      </c>
      <c r="D357" s="163" t="s">
        <v>656</v>
      </c>
      <c r="E357" s="148"/>
      <c r="F357" s="133" t="s">
        <v>445</v>
      </c>
      <c r="G357" s="174">
        <v>1</v>
      </c>
      <c r="H357" s="163">
        <v>2018</v>
      </c>
      <c r="I357" s="135">
        <v>24.2</v>
      </c>
      <c r="J357" s="592">
        <f t="shared" si="45"/>
        <v>87.5</v>
      </c>
      <c r="K357" s="600">
        <f t="shared" si="46"/>
        <v>3.0249999999999986</v>
      </c>
      <c r="L357" s="592"/>
      <c r="M357" s="592"/>
      <c r="N357" s="600">
        <f t="shared" si="42"/>
        <v>0</v>
      </c>
      <c r="O357" s="592"/>
      <c r="P357" s="592"/>
      <c r="Q357" s="600">
        <f t="shared" si="47"/>
        <v>0</v>
      </c>
    </row>
    <row r="358" spans="3:17" ht="17.25">
      <c r="C358" s="561">
        <v>3</v>
      </c>
      <c r="D358" s="163" t="s">
        <v>657</v>
      </c>
      <c r="E358" s="148"/>
      <c r="F358" s="133" t="s">
        <v>603</v>
      </c>
      <c r="G358" s="162">
        <v>2</v>
      </c>
      <c r="H358" s="163">
        <v>2018</v>
      </c>
      <c r="I358" s="135">
        <v>52.8</v>
      </c>
      <c r="J358" s="592">
        <f t="shared" si="45"/>
        <v>87.5</v>
      </c>
      <c r="K358" s="600">
        <f t="shared" si="46"/>
        <v>6.600000000000001</v>
      </c>
      <c r="L358" s="592"/>
      <c r="M358" s="592"/>
      <c r="N358" s="600">
        <f t="shared" si="42"/>
        <v>0</v>
      </c>
      <c r="O358" s="607"/>
      <c r="P358" s="606"/>
      <c r="Q358" s="600">
        <f t="shared" si="47"/>
        <v>0</v>
      </c>
    </row>
    <row r="359" spans="3:17" ht="18" customHeight="1">
      <c r="C359" s="561">
        <v>4</v>
      </c>
      <c r="D359" s="163" t="s">
        <v>658</v>
      </c>
      <c r="E359" s="148"/>
      <c r="F359" s="159" t="s">
        <v>445</v>
      </c>
      <c r="G359" s="174">
        <v>1</v>
      </c>
      <c r="H359" s="163">
        <v>2018</v>
      </c>
      <c r="I359" s="135">
        <v>29.7</v>
      </c>
      <c r="J359" s="592">
        <f t="shared" si="45"/>
        <v>87.5</v>
      </c>
      <c r="K359" s="600">
        <f t="shared" si="46"/>
        <v>3.7124999999999986</v>
      </c>
      <c r="L359" s="592"/>
      <c r="M359" s="592"/>
      <c r="N359" s="600">
        <f t="shared" si="42"/>
        <v>0</v>
      </c>
      <c r="O359" s="592"/>
      <c r="P359" s="592"/>
      <c r="Q359" s="600">
        <f t="shared" si="47"/>
        <v>0</v>
      </c>
    </row>
    <row r="360" spans="3:17" ht="17.25">
      <c r="C360" s="561">
        <v>5</v>
      </c>
      <c r="D360" s="163" t="s">
        <v>659</v>
      </c>
      <c r="E360" s="148"/>
      <c r="F360" s="138" t="s">
        <v>445</v>
      </c>
      <c r="G360" s="174">
        <v>1</v>
      </c>
      <c r="H360" s="163">
        <v>2018</v>
      </c>
      <c r="I360" s="135">
        <v>30.8</v>
      </c>
      <c r="J360" s="592">
        <f t="shared" si="45"/>
        <v>87.5</v>
      </c>
      <c r="K360" s="600">
        <f t="shared" si="46"/>
        <v>3.8500000000000014</v>
      </c>
      <c r="L360" s="592"/>
      <c r="M360" s="592"/>
      <c r="N360" s="600">
        <f t="shared" si="42"/>
        <v>0</v>
      </c>
      <c r="O360" s="592"/>
      <c r="P360" s="592"/>
      <c r="Q360" s="600">
        <f t="shared" si="47"/>
        <v>0</v>
      </c>
    </row>
    <row r="361" spans="3:17" ht="17.25">
      <c r="C361" s="561">
        <v>6</v>
      </c>
      <c r="D361" s="163" t="s">
        <v>660</v>
      </c>
      <c r="E361" s="148"/>
      <c r="F361" s="138" t="s">
        <v>445</v>
      </c>
      <c r="G361" s="175">
        <v>2</v>
      </c>
      <c r="H361" s="163">
        <v>2021</v>
      </c>
      <c r="I361" s="135">
        <v>66</v>
      </c>
      <c r="J361" s="592">
        <f t="shared" si="45"/>
        <v>50</v>
      </c>
      <c r="K361" s="600">
        <f t="shared" si="46"/>
        <v>33</v>
      </c>
      <c r="L361" s="592"/>
      <c r="M361" s="592"/>
      <c r="N361" s="600">
        <f t="shared" si="42"/>
        <v>0</v>
      </c>
      <c r="O361" s="592"/>
      <c r="P361" s="592"/>
      <c r="Q361" s="600">
        <f t="shared" si="47"/>
        <v>0</v>
      </c>
    </row>
    <row r="362" spans="3:17" ht="17.25">
      <c r="C362" s="561">
        <v>7</v>
      </c>
      <c r="D362" s="163" t="s">
        <v>661</v>
      </c>
      <c r="E362" s="148"/>
      <c r="F362" s="138" t="s">
        <v>445</v>
      </c>
      <c r="G362" s="162">
        <v>1</v>
      </c>
      <c r="H362" s="163">
        <v>2019</v>
      </c>
      <c r="I362" s="135">
        <v>45</v>
      </c>
      <c r="J362" s="592">
        <f t="shared" si="45"/>
        <v>75</v>
      </c>
      <c r="K362" s="600">
        <f t="shared" si="46"/>
        <v>11.25</v>
      </c>
      <c r="L362" s="592"/>
      <c r="M362" s="592"/>
      <c r="N362" s="600">
        <f t="shared" si="42"/>
        <v>0</v>
      </c>
      <c r="O362" s="592"/>
      <c r="P362" s="592"/>
      <c r="Q362" s="600">
        <f t="shared" si="47"/>
        <v>0</v>
      </c>
    </row>
    <row r="363" spans="3:17" ht="17.25">
      <c r="C363" s="561">
        <v>8</v>
      </c>
      <c r="D363" s="163" t="s">
        <v>662</v>
      </c>
      <c r="E363" s="148"/>
      <c r="F363" s="138" t="s">
        <v>445</v>
      </c>
      <c r="G363" s="162">
        <v>1</v>
      </c>
      <c r="H363" s="163">
        <v>2018</v>
      </c>
      <c r="I363" s="135">
        <v>48.4</v>
      </c>
      <c r="J363" s="592">
        <f t="shared" si="45"/>
        <v>87.5</v>
      </c>
      <c r="K363" s="600">
        <f t="shared" si="46"/>
        <v>6.049999999999997</v>
      </c>
      <c r="L363" s="592"/>
      <c r="M363" s="592"/>
      <c r="N363" s="600">
        <f t="shared" si="42"/>
        <v>0</v>
      </c>
      <c r="O363" s="592"/>
      <c r="P363" s="592"/>
      <c r="Q363" s="600">
        <f t="shared" si="47"/>
        <v>0</v>
      </c>
    </row>
    <row r="364" spans="3:17" ht="17.25">
      <c r="C364" s="561">
        <v>9</v>
      </c>
      <c r="D364" s="163" t="s">
        <v>663</v>
      </c>
      <c r="E364" s="148"/>
      <c r="F364" s="138" t="s">
        <v>445</v>
      </c>
      <c r="G364" s="162">
        <v>1</v>
      </c>
      <c r="H364" s="163">
        <v>2016</v>
      </c>
      <c r="I364" s="135">
        <v>54.8</v>
      </c>
      <c r="J364" s="592">
        <f t="shared" si="45"/>
        <v>100</v>
      </c>
      <c r="K364" s="600">
        <f t="shared" si="46"/>
        <v>0</v>
      </c>
      <c r="L364" s="592"/>
      <c r="M364" s="592"/>
      <c r="N364" s="600">
        <f t="shared" si="42"/>
        <v>0</v>
      </c>
      <c r="O364" s="592"/>
      <c r="P364" s="592"/>
      <c r="Q364" s="600">
        <f t="shared" si="47"/>
        <v>0</v>
      </c>
    </row>
    <row r="365" spans="3:17" ht="17.25">
      <c r="C365" s="561">
        <v>10</v>
      </c>
      <c r="D365" s="163" t="s">
        <v>664</v>
      </c>
      <c r="E365" s="148"/>
      <c r="F365" s="138" t="s">
        <v>445</v>
      </c>
      <c r="G365" s="162">
        <v>1</v>
      </c>
      <c r="H365" s="163">
        <v>2018</v>
      </c>
      <c r="I365" s="135">
        <v>55</v>
      </c>
      <c r="J365" s="592">
        <f t="shared" si="45"/>
        <v>87.5</v>
      </c>
      <c r="K365" s="600">
        <f t="shared" si="46"/>
        <v>6.875</v>
      </c>
      <c r="L365" s="592"/>
      <c r="M365" s="592"/>
      <c r="N365" s="600">
        <f aca="true" t="shared" si="48" ref="N365:N373">+L365*M365</f>
        <v>0</v>
      </c>
      <c r="O365" s="592"/>
      <c r="P365" s="592"/>
      <c r="Q365" s="600">
        <f t="shared" si="47"/>
        <v>0</v>
      </c>
    </row>
    <row r="366" spans="3:17" ht="17.25">
      <c r="C366" s="561">
        <v>11</v>
      </c>
      <c r="D366" s="171" t="s">
        <v>665</v>
      </c>
      <c r="E366" s="148"/>
      <c r="F366" s="138" t="s">
        <v>445</v>
      </c>
      <c r="G366" s="162">
        <v>1</v>
      </c>
      <c r="H366" s="163">
        <v>2018</v>
      </c>
      <c r="I366" s="135">
        <v>61.6</v>
      </c>
      <c r="J366" s="592">
        <f t="shared" si="45"/>
        <v>87.5</v>
      </c>
      <c r="K366" s="600">
        <f t="shared" si="46"/>
        <v>7.700000000000003</v>
      </c>
      <c r="L366" s="592"/>
      <c r="M366" s="592"/>
      <c r="N366" s="600">
        <f t="shared" si="48"/>
        <v>0</v>
      </c>
      <c r="O366" s="592"/>
      <c r="P366" s="592"/>
      <c r="Q366" s="600">
        <f t="shared" si="47"/>
        <v>0</v>
      </c>
    </row>
    <row r="367" spans="3:17" ht="17.25">
      <c r="C367" s="561">
        <v>12</v>
      </c>
      <c r="D367" s="163" t="s">
        <v>666</v>
      </c>
      <c r="E367" s="148"/>
      <c r="F367" s="138" t="s">
        <v>445</v>
      </c>
      <c r="G367" s="162">
        <v>1</v>
      </c>
      <c r="H367" s="163">
        <v>2018</v>
      </c>
      <c r="I367" s="135">
        <v>95</v>
      </c>
      <c r="J367" s="592">
        <f t="shared" si="45"/>
        <v>87.5</v>
      </c>
      <c r="K367" s="600">
        <f t="shared" si="46"/>
        <v>11.875</v>
      </c>
      <c r="L367" s="592"/>
      <c r="M367" s="592"/>
      <c r="N367" s="600">
        <f t="shared" si="48"/>
        <v>0</v>
      </c>
      <c r="O367" s="592"/>
      <c r="P367" s="592"/>
      <c r="Q367" s="600">
        <f t="shared" si="47"/>
        <v>0</v>
      </c>
    </row>
    <row r="368" spans="3:17" ht="17.25">
      <c r="C368" s="561">
        <v>13</v>
      </c>
      <c r="D368" s="137" t="s">
        <v>667</v>
      </c>
      <c r="E368" s="148"/>
      <c r="F368" s="158" t="s">
        <v>445</v>
      </c>
      <c r="G368" s="162">
        <v>1</v>
      </c>
      <c r="H368" s="137">
        <v>2021</v>
      </c>
      <c r="I368" s="135">
        <v>117.6</v>
      </c>
      <c r="J368" s="592">
        <f t="shared" si="45"/>
        <v>50</v>
      </c>
      <c r="K368" s="600">
        <f t="shared" si="46"/>
        <v>58.8</v>
      </c>
      <c r="L368" s="592"/>
      <c r="M368" s="592"/>
      <c r="N368" s="600">
        <f t="shared" si="48"/>
        <v>0</v>
      </c>
      <c r="O368" s="592"/>
      <c r="P368" s="592"/>
      <c r="Q368" s="600">
        <f t="shared" si="47"/>
        <v>0</v>
      </c>
    </row>
    <row r="369" spans="3:17" ht="17.25">
      <c r="C369" s="561">
        <v>14</v>
      </c>
      <c r="D369" s="137" t="s">
        <v>668</v>
      </c>
      <c r="E369" s="148"/>
      <c r="F369" s="138" t="s">
        <v>445</v>
      </c>
      <c r="G369" s="162">
        <v>1</v>
      </c>
      <c r="H369" s="137">
        <v>2018</v>
      </c>
      <c r="I369" s="135">
        <v>145</v>
      </c>
      <c r="J369" s="592">
        <f t="shared" si="45"/>
        <v>87.5</v>
      </c>
      <c r="K369" s="600">
        <f t="shared" si="46"/>
        <v>18.125</v>
      </c>
      <c r="L369" s="592"/>
      <c r="M369" s="592"/>
      <c r="N369" s="600">
        <f t="shared" si="48"/>
        <v>0</v>
      </c>
      <c r="O369" s="592"/>
      <c r="P369" s="592"/>
      <c r="Q369" s="600">
        <f t="shared" si="47"/>
        <v>0</v>
      </c>
    </row>
    <row r="370" spans="3:17" ht="17.25">
      <c r="C370" s="561">
        <v>15</v>
      </c>
      <c r="D370" s="137" t="s">
        <v>669</v>
      </c>
      <c r="E370" s="148"/>
      <c r="F370" s="138" t="s">
        <v>445</v>
      </c>
      <c r="G370" s="162">
        <v>1</v>
      </c>
      <c r="H370" s="163">
        <v>2018</v>
      </c>
      <c r="I370" s="135">
        <v>85</v>
      </c>
      <c r="J370" s="592">
        <f t="shared" si="45"/>
        <v>87.5</v>
      </c>
      <c r="K370" s="600">
        <f t="shared" si="46"/>
        <v>10.625</v>
      </c>
      <c r="L370" s="592"/>
      <c r="M370" s="592"/>
      <c r="N370" s="600">
        <f t="shared" si="48"/>
        <v>0</v>
      </c>
      <c r="O370" s="592"/>
      <c r="P370" s="592"/>
      <c r="Q370" s="600">
        <f t="shared" si="47"/>
        <v>0</v>
      </c>
    </row>
    <row r="371" spans="3:17" ht="17.25">
      <c r="C371" s="561">
        <v>16</v>
      </c>
      <c r="D371" s="163" t="s">
        <v>670</v>
      </c>
      <c r="E371" s="148"/>
      <c r="F371" s="138" t="s">
        <v>445</v>
      </c>
      <c r="G371" s="167">
        <v>1</v>
      </c>
      <c r="H371" s="142">
        <v>2018</v>
      </c>
      <c r="I371" s="135">
        <v>17.179</v>
      </c>
      <c r="J371" s="592">
        <f t="shared" si="45"/>
        <v>87.5</v>
      </c>
      <c r="K371" s="600">
        <f t="shared" si="46"/>
        <v>2.1473750000000003</v>
      </c>
      <c r="L371" s="592"/>
      <c r="M371" s="592"/>
      <c r="N371" s="600">
        <f t="shared" si="48"/>
        <v>0</v>
      </c>
      <c r="O371" s="592"/>
      <c r="P371" s="592"/>
      <c r="Q371" s="600">
        <f t="shared" si="47"/>
        <v>0</v>
      </c>
    </row>
    <row r="372" spans="3:17" ht="17.25">
      <c r="C372" s="561"/>
      <c r="D372" s="635"/>
      <c r="E372" s="572"/>
      <c r="F372" s="592" t="s">
        <v>445</v>
      </c>
      <c r="G372" s="594"/>
      <c r="H372" s="630"/>
      <c r="I372" s="636"/>
      <c r="J372" s="592">
        <f t="shared" si="45"/>
        <v>100</v>
      </c>
      <c r="K372" s="600">
        <f>IF(J372=100,0,I372-I372*J372%)</f>
        <v>0</v>
      </c>
      <c r="L372" s="592"/>
      <c r="M372" s="592"/>
      <c r="N372" s="600">
        <f>+L372*M372</f>
        <v>0</v>
      </c>
      <c r="O372" s="592"/>
      <c r="P372" s="592"/>
      <c r="Q372" s="600">
        <f>+O372*P372</f>
        <v>0</v>
      </c>
    </row>
    <row r="373" spans="3:17" ht="17.25">
      <c r="C373" s="561"/>
      <c r="D373" s="635"/>
      <c r="E373" s="572"/>
      <c r="F373" s="592" t="s">
        <v>445</v>
      </c>
      <c r="G373" s="594"/>
      <c r="H373" s="630"/>
      <c r="I373" s="636"/>
      <c r="J373" s="600"/>
      <c r="K373" s="600"/>
      <c r="L373" s="607"/>
      <c r="M373" s="605"/>
      <c r="N373" s="600">
        <f t="shared" si="48"/>
        <v>0</v>
      </c>
      <c r="O373" s="607"/>
      <c r="P373" s="605"/>
      <c r="Q373" s="600">
        <f t="shared" si="47"/>
        <v>0</v>
      </c>
    </row>
    <row r="374" spans="3:17" ht="34.5">
      <c r="C374" s="561"/>
      <c r="D374" s="608" t="s">
        <v>1117</v>
      </c>
      <c r="E374" s="602"/>
      <c r="F374" s="602"/>
      <c r="G374" s="609">
        <f>SUMIF(J356:J373,"&lt;100",G356:G373)</f>
        <v>28</v>
      </c>
      <c r="H374" s="602"/>
      <c r="I374" s="610"/>
      <c r="K374" s="611"/>
      <c r="L374" s="602"/>
      <c r="M374" s="602"/>
      <c r="N374" s="567"/>
      <c r="O374" s="602"/>
      <c r="P374" s="602"/>
      <c r="Q374" s="567"/>
    </row>
    <row r="375" spans="1:17" ht="30" customHeight="1">
      <c r="A375" s="573"/>
      <c r="B375" s="574"/>
      <c r="C375" s="575"/>
      <c r="D375" s="574" t="s">
        <v>167</v>
      </c>
      <c r="E375" s="576"/>
      <c r="F375" s="577" t="s">
        <v>1</v>
      </c>
      <c r="G375" s="578" t="s">
        <v>1</v>
      </c>
      <c r="H375" s="578" t="s">
        <v>1</v>
      </c>
      <c r="I375" s="577" t="s">
        <v>1</v>
      </c>
      <c r="J375" s="577" t="s">
        <v>1</v>
      </c>
      <c r="K375" s="577" t="s">
        <v>1</v>
      </c>
      <c r="L375" s="579" t="s">
        <v>1</v>
      </c>
      <c r="M375" s="577" t="s">
        <v>1</v>
      </c>
      <c r="N375" s="579">
        <f>+N174+N16</f>
        <v>31248.2</v>
      </c>
      <c r="O375" s="579" t="s">
        <v>1</v>
      </c>
      <c r="P375" s="579" t="s">
        <v>1</v>
      </c>
      <c r="Q375" s="579">
        <f>+Q174+Q16</f>
        <v>2115</v>
      </c>
    </row>
    <row r="376" ht="17.25">
      <c r="Q376" s="533"/>
    </row>
  </sheetData>
  <sheetProtection/>
  <mergeCells count="8">
    <mergeCell ref="O11:Q11"/>
    <mergeCell ref="J2:L2"/>
    <mergeCell ref="D4:H4"/>
    <mergeCell ref="C7:M7"/>
    <mergeCell ref="C8:M8"/>
    <mergeCell ref="G11:K11"/>
    <mergeCell ref="L11:N11"/>
    <mergeCell ref="C5:M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8"/>
  <sheetViews>
    <sheetView zoomScalePageLayoutView="0" workbookViewId="0" topLeftCell="A14">
      <selection activeCell="F7" sqref="F7"/>
    </sheetView>
  </sheetViews>
  <sheetFormatPr defaultColWidth="9.140625" defaultRowHeight="12.75"/>
  <cols>
    <col min="1" max="1" width="6.28125" style="43" customWidth="1"/>
    <col min="2" max="2" width="23.421875" style="44" customWidth="1"/>
    <col min="3" max="3" width="21.00390625" style="44" customWidth="1"/>
    <col min="4" max="4" width="16.00390625" style="44" customWidth="1"/>
    <col min="5" max="5" width="12.28125" style="44" customWidth="1"/>
    <col min="6" max="6" width="29.8515625" style="44" customWidth="1"/>
    <col min="7" max="7" width="25.28125" style="44" customWidth="1"/>
    <col min="8" max="10" width="16.140625" style="44" customWidth="1"/>
    <col min="11" max="11" width="12.140625" style="44" customWidth="1"/>
    <col min="12" max="12" width="26.8515625" style="44" customWidth="1"/>
    <col min="13" max="16384" width="9.140625" style="44" customWidth="1"/>
  </cols>
  <sheetData>
    <row r="1" spans="1:14" s="55" customFormat="1" ht="17.25">
      <c r="A1" s="45"/>
      <c r="B1" s="1124"/>
      <c r="C1" s="1124"/>
      <c r="D1" s="28"/>
      <c r="E1" s="10"/>
      <c r="G1" s="28"/>
      <c r="H1" s="28"/>
      <c r="I1" s="28"/>
      <c r="J1" s="28"/>
      <c r="K1" s="28"/>
      <c r="L1" s="28" t="s">
        <v>244</v>
      </c>
      <c r="M1" s="28"/>
      <c r="N1" s="1"/>
    </row>
    <row r="2" spans="1:14" s="55" customFormat="1" ht="17.25" customHeight="1">
      <c r="A2" s="45"/>
      <c r="D2" s="61"/>
      <c r="G2" s="61"/>
      <c r="H2" s="61"/>
      <c r="I2" s="61"/>
      <c r="J2" s="61"/>
      <c r="K2" s="61"/>
      <c r="L2" s="72" t="s">
        <v>9</v>
      </c>
      <c r="M2" s="72"/>
      <c r="N2" s="72"/>
    </row>
    <row r="3" spans="1:14" s="104" customFormat="1" ht="18" thickBot="1">
      <c r="A3" s="113"/>
      <c r="B3" s="46"/>
      <c r="C3" s="46"/>
      <c r="D3" s="46"/>
      <c r="E3" s="46"/>
      <c r="F3" s="46"/>
      <c r="G3" s="46"/>
      <c r="H3" s="46"/>
      <c r="I3" s="46"/>
      <c r="J3" s="46"/>
      <c r="K3" s="46"/>
      <c r="L3" s="8"/>
      <c r="M3" s="122"/>
      <c r="N3" s="122"/>
    </row>
    <row r="4" spans="1:12" s="56" customFormat="1" ht="43.5" customHeight="1">
      <c r="A4" s="45"/>
      <c r="B4" s="62" t="s">
        <v>10</v>
      </c>
      <c r="C4" s="123" t="s">
        <v>1107</v>
      </c>
      <c r="D4" s="47"/>
      <c r="E4" s="47"/>
      <c r="F4" s="62"/>
      <c r="G4" s="47"/>
      <c r="H4" s="47"/>
      <c r="I4" s="47"/>
      <c r="J4" s="47"/>
      <c r="K4" s="47"/>
      <c r="L4" s="47"/>
    </row>
    <row r="5" spans="1:12" s="55" customFormat="1" ht="22.5" customHeight="1">
      <c r="A5" s="64" t="s">
        <v>157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55" customFormat="1" ht="22.5" customHeight="1">
      <c r="A6" s="64" t="s">
        <v>325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s="56" customFormat="1" ht="17.25">
      <c r="A7" s="45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s="48" customFormat="1" ht="15.75" customHeight="1">
      <c r="A8" s="45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s="48" customFormat="1" ht="17.25" hidden="1">
      <c r="A9" s="45"/>
      <c r="B9" s="1124"/>
      <c r="C9" s="1124"/>
      <c r="D9" s="63"/>
      <c r="E9" s="47"/>
      <c r="F9" s="47"/>
      <c r="G9" s="63"/>
      <c r="H9" s="63"/>
      <c r="I9" s="63"/>
      <c r="J9" s="63"/>
      <c r="K9" s="63"/>
      <c r="L9" s="63" t="s">
        <v>165</v>
      </c>
    </row>
    <row r="10" spans="1:12" s="48" customFormat="1" ht="17.25" hidden="1">
      <c r="A10" s="45"/>
      <c r="B10" s="47"/>
      <c r="C10" s="47"/>
      <c r="D10" s="63"/>
      <c r="E10" s="47"/>
      <c r="F10" s="47"/>
      <c r="G10" s="63"/>
      <c r="H10" s="63"/>
      <c r="I10" s="63"/>
      <c r="J10" s="63"/>
      <c r="K10" s="63"/>
      <c r="L10" s="63"/>
    </row>
    <row r="11" spans="1:12" s="42" customFormat="1" ht="132" customHeight="1">
      <c r="A11" s="49" t="s">
        <v>63</v>
      </c>
      <c r="B11" s="53" t="s">
        <v>170</v>
      </c>
      <c r="C11" s="53" t="s">
        <v>166</v>
      </c>
      <c r="D11" s="53" t="s">
        <v>168</v>
      </c>
      <c r="E11" s="53" t="s">
        <v>169</v>
      </c>
      <c r="F11" s="53" t="s">
        <v>185</v>
      </c>
      <c r="G11" s="53" t="s">
        <v>188</v>
      </c>
      <c r="H11" s="53" t="s">
        <v>189</v>
      </c>
      <c r="I11" s="53" t="s">
        <v>190</v>
      </c>
      <c r="J11" s="53" t="s">
        <v>191</v>
      </c>
      <c r="K11" s="53" t="s">
        <v>192</v>
      </c>
      <c r="L11" s="53" t="s">
        <v>231</v>
      </c>
    </row>
    <row r="12" spans="1:12" s="70" customFormat="1" ht="13.5">
      <c r="A12" s="52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7.1</v>
      </c>
      <c r="I12" s="33">
        <v>7.2</v>
      </c>
      <c r="J12" s="33">
        <v>7.3</v>
      </c>
      <c r="K12" s="33">
        <v>7.4</v>
      </c>
      <c r="L12" s="33">
        <v>8</v>
      </c>
    </row>
    <row r="13" spans="1:12" s="42" customFormat="1" ht="32.25" customHeight="1">
      <c r="A13" s="67"/>
      <c r="B13" s="68" t="s">
        <v>183</v>
      </c>
      <c r="C13" s="68"/>
      <c r="D13" s="68" t="s">
        <v>1</v>
      </c>
      <c r="E13" s="68">
        <f>SUM(E14:E17)</f>
        <v>0</v>
      </c>
      <c r="F13" s="68"/>
      <c r="G13" s="68"/>
      <c r="H13" s="68"/>
      <c r="I13" s="68"/>
      <c r="J13" s="68"/>
      <c r="K13" s="68"/>
      <c r="L13" s="68"/>
    </row>
    <row r="14" spans="1:12" ht="17.25">
      <c r="A14" s="50">
        <v>1</v>
      </c>
      <c r="B14" s="51"/>
      <c r="C14" s="51"/>
      <c r="D14" s="50" t="s">
        <v>1</v>
      </c>
      <c r="E14" s="51"/>
      <c r="F14" s="50"/>
      <c r="G14" s="50">
        <f>SUM(H14:K14)</f>
        <v>0</v>
      </c>
      <c r="H14" s="50"/>
      <c r="I14" s="50"/>
      <c r="J14" s="50"/>
      <c r="K14" s="50"/>
      <c r="L14" s="50"/>
    </row>
    <row r="15" spans="1:12" ht="17.25">
      <c r="A15" s="50">
        <v>2</v>
      </c>
      <c r="B15" s="51"/>
      <c r="C15" s="51"/>
      <c r="D15" s="50" t="s">
        <v>1</v>
      </c>
      <c r="E15" s="51"/>
      <c r="F15" s="50"/>
      <c r="G15" s="50">
        <f aca="true" t="shared" si="0" ref="G15:G22">SUM(H15:K15)</f>
        <v>0</v>
      </c>
      <c r="H15" s="50"/>
      <c r="I15" s="50"/>
      <c r="J15" s="50"/>
      <c r="K15" s="50"/>
      <c r="L15" s="50"/>
    </row>
    <row r="16" spans="1:12" ht="17.25">
      <c r="A16" s="50">
        <v>3</v>
      </c>
      <c r="B16" s="51"/>
      <c r="C16" s="51"/>
      <c r="D16" s="50" t="s">
        <v>1</v>
      </c>
      <c r="E16" s="51"/>
      <c r="F16" s="50"/>
      <c r="G16" s="50">
        <f t="shared" si="0"/>
        <v>0</v>
      </c>
      <c r="H16" s="50"/>
      <c r="I16" s="50"/>
      <c r="J16" s="50"/>
      <c r="K16" s="50"/>
      <c r="L16" s="50"/>
    </row>
    <row r="17" spans="1:12" ht="17.25">
      <c r="A17" s="50" t="s">
        <v>153</v>
      </c>
      <c r="B17" s="51"/>
      <c r="C17" s="51"/>
      <c r="D17" s="50" t="s">
        <v>1</v>
      </c>
      <c r="E17" s="51"/>
      <c r="F17" s="50"/>
      <c r="G17" s="50">
        <f t="shared" si="0"/>
        <v>0</v>
      </c>
      <c r="H17" s="50"/>
      <c r="I17" s="50"/>
      <c r="J17" s="50"/>
      <c r="K17" s="50"/>
      <c r="L17" s="50"/>
    </row>
    <row r="18" spans="1:12" s="42" customFormat="1" ht="32.25" customHeight="1">
      <c r="A18" s="67"/>
      <c r="B18" s="68" t="s">
        <v>184</v>
      </c>
      <c r="C18" s="68"/>
      <c r="D18" s="68" t="s">
        <v>1</v>
      </c>
      <c r="E18" s="68">
        <f>SUM(E19:E22)</f>
        <v>900</v>
      </c>
      <c r="F18" s="68"/>
      <c r="G18" s="68"/>
      <c r="H18" s="68"/>
      <c r="I18" s="68"/>
      <c r="J18" s="68"/>
      <c r="K18" s="68"/>
      <c r="L18" s="68"/>
    </row>
    <row r="19" spans="1:12" ht="17.25">
      <c r="A19" s="115">
        <v>1</v>
      </c>
      <c r="B19" s="116"/>
      <c r="C19" s="116" t="s">
        <v>671</v>
      </c>
      <c r="D19" s="115" t="s">
        <v>1</v>
      </c>
      <c r="E19" s="115">
        <v>900</v>
      </c>
      <c r="F19" s="115"/>
      <c r="G19" s="115">
        <f>SUM(H19:K19)</f>
        <v>0</v>
      </c>
      <c r="H19" s="115"/>
      <c r="I19" s="115"/>
      <c r="J19" s="115"/>
      <c r="K19" s="115"/>
      <c r="L19" s="115" t="s">
        <v>672</v>
      </c>
    </row>
    <row r="20" spans="1:12" ht="17.25">
      <c r="A20" s="50">
        <v>2</v>
      </c>
      <c r="B20" s="51"/>
      <c r="C20" s="51"/>
      <c r="D20" s="50" t="s">
        <v>1</v>
      </c>
      <c r="E20" s="51"/>
      <c r="F20" s="50"/>
      <c r="G20" s="50">
        <f t="shared" si="0"/>
        <v>0</v>
      </c>
      <c r="H20" s="50"/>
      <c r="I20" s="50"/>
      <c r="J20" s="50"/>
      <c r="K20" s="50"/>
      <c r="L20" s="50"/>
    </row>
    <row r="21" spans="1:12" ht="17.25">
      <c r="A21" s="50">
        <v>3</v>
      </c>
      <c r="B21" s="51"/>
      <c r="C21" s="51"/>
      <c r="D21" s="50" t="s">
        <v>1</v>
      </c>
      <c r="E21" s="51"/>
      <c r="F21" s="50"/>
      <c r="G21" s="50">
        <f t="shared" si="0"/>
        <v>0</v>
      </c>
      <c r="H21" s="50"/>
      <c r="I21" s="50"/>
      <c r="J21" s="50"/>
      <c r="K21" s="50"/>
      <c r="L21" s="50"/>
    </row>
    <row r="22" spans="1:12" ht="17.25">
      <c r="A22" s="50" t="s">
        <v>153</v>
      </c>
      <c r="B22" s="51"/>
      <c r="C22" s="51"/>
      <c r="D22" s="50" t="s">
        <v>1</v>
      </c>
      <c r="E22" s="51"/>
      <c r="F22" s="50"/>
      <c r="G22" s="50">
        <f t="shared" si="0"/>
        <v>0</v>
      </c>
      <c r="H22" s="50"/>
      <c r="I22" s="50"/>
      <c r="J22" s="50"/>
      <c r="K22" s="50"/>
      <c r="L22" s="50"/>
    </row>
    <row r="23" spans="1:12" s="42" customFormat="1" ht="32.25" customHeight="1">
      <c r="A23" s="67"/>
      <c r="B23" s="68" t="s">
        <v>182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3" ht="69">
      <c r="A24" s="115">
        <v>1</v>
      </c>
      <c r="B24" s="116"/>
      <c r="C24" s="117" t="s">
        <v>673</v>
      </c>
      <c r="D24" s="124">
        <v>30000</v>
      </c>
      <c r="E24" s="118">
        <v>367.8</v>
      </c>
      <c r="F24" s="118" t="s">
        <v>674</v>
      </c>
      <c r="G24" s="115">
        <f>SUM(H24:K24)</f>
        <v>3298.6</v>
      </c>
      <c r="H24" s="115">
        <v>2670.1</v>
      </c>
      <c r="I24" s="115"/>
      <c r="J24" s="115">
        <v>628.5</v>
      </c>
      <c r="K24" s="115"/>
      <c r="L24" s="119" t="s">
        <v>675</v>
      </c>
      <c r="M24" s="178"/>
    </row>
    <row r="25" spans="1:12" ht="51.75">
      <c r="A25" s="115">
        <v>2</v>
      </c>
      <c r="B25" s="116"/>
      <c r="C25" s="117" t="s">
        <v>673</v>
      </c>
      <c r="D25" s="120">
        <v>9444</v>
      </c>
      <c r="E25" s="115">
        <v>127.4</v>
      </c>
      <c r="F25" s="118" t="s">
        <v>676</v>
      </c>
      <c r="G25" s="115">
        <f>SUM(H25:K25)</f>
        <v>473.2</v>
      </c>
      <c r="H25" s="115">
        <v>473.2</v>
      </c>
      <c r="I25" s="115"/>
      <c r="J25" s="115"/>
      <c r="K25" s="115"/>
      <c r="L25" s="119" t="s">
        <v>677</v>
      </c>
    </row>
    <row r="26" spans="1:12" ht="69">
      <c r="A26" s="115">
        <v>3</v>
      </c>
      <c r="B26" s="116"/>
      <c r="C26" s="117" t="s">
        <v>673</v>
      </c>
      <c r="D26" s="120">
        <v>5040</v>
      </c>
      <c r="E26" s="115">
        <v>67.4</v>
      </c>
      <c r="F26" s="118" t="s">
        <v>678</v>
      </c>
      <c r="G26" s="120">
        <f>SUM(H26:K26)</f>
        <v>298</v>
      </c>
      <c r="H26" s="120">
        <v>298</v>
      </c>
      <c r="I26" s="115"/>
      <c r="J26" s="115"/>
      <c r="K26" s="115"/>
      <c r="L26" s="119" t="s">
        <v>679</v>
      </c>
    </row>
    <row r="27" spans="1:12" ht="17.25">
      <c r="A27" s="50" t="s">
        <v>153</v>
      </c>
      <c r="B27" s="51"/>
      <c r="C27" s="51"/>
      <c r="D27" s="50"/>
      <c r="E27" s="51"/>
      <c r="F27" s="50"/>
      <c r="G27" s="50"/>
      <c r="H27" s="50"/>
      <c r="I27" s="50"/>
      <c r="J27" s="50"/>
      <c r="K27" s="50"/>
      <c r="L27" s="50"/>
    </row>
    <row r="28" spans="1:12" s="42" customFormat="1" ht="32.25" customHeight="1">
      <c r="A28" s="67"/>
      <c r="B28" s="69" t="s">
        <v>167</v>
      </c>
      <c r="C28" s="68"/>
      <c r="D28" s="125">
        <f>SUM(D24:D27)</f>
        <v>44484</v>
      </c>
      <c r="E28" s="121">
        <f>SUM(E24:E26)</f>
        <v>562.6</v>
      </c>
      <c r="F28" s="68"/>
      <c r="G28" s="121">
        <f>SUM(G24:G27)</f>
        <v>4069.7999999999997</v>
      </c>
      <c r="H28" s="121">
        <f>SUM(H24:H27)</f>
        <v>3441.2999999999997</v>
      </c>
      <c r="I28" s="68"/>
      <c r="J28" s="121">
        <f>SUM(J24:J27)</f>
        <v>628.5</v>
      </c>
      <c r="K28" s="68"/>
      <c r="L28" s="68"/>
    </row>
  </sheetData>
  <sheetProtection/>
  <mergeCells count="2">
    <mergeCell ref="B9:C9"/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28125" style="43" customWidth="1"/>
    <col min="2" max="2" width="36.00390625" style="44" customWidth="1"/>
    <col min="3" max="3" width="60.8515625" style="44" customWidth="1"/>
    <col min="4" max="4" width="24.28125" style="44" customWidth="1"/>
    <col min="5" max="16384" width="9.140625" style="44" customWidth="1"/>
  </cols>
  <sheetData>
    <row r="1" spans="1:4" s="55" customFormat="1" ht="17.25">
      <c r="A1" s="45"/>
      <c r="B1" s="1124"/>
      <c r="C1" s="1124"/>
      <c r="D1" s="94" t="s">
        <v>117</v>
      </c>
    </row>
    <row r="2" spans="1:4" s="55" customFormat="1" ht="17.25" customHeight="1">
      <c r="A2" s="45"/>
      <c r="D2" s="90" t="s">
        <v>9</v>
      </c>
    </row>
    <row r="3" spans="1:3" s="55" customFormat="1" ht="18" thickBot="1">
      <c r="A3" s="45"/>
      <c r="B3" s="46"/>
      <c r="C3" s="46"/>
    </row>
    <row r="4" spans="1:3" s="56" customFormat="1" ht="45.75" customHeight="1">
      <c r="A4" s="45"/>
      <c r="B4" s="62" t="s">
        <v>1108</v>
      </c>
      <c r="C4" s="62"/>
    </row>
    <row r="5" spans="1:3" s="55" customFormat="1" ht="22.5" customHeight="1">
      <c r="A5" s="64" t="s">
        <v>157</v>
      </c>
      <c r="B5" s="64"/>
      <c r="C5" s="64"/>
    </row>
    <row r="6" spans="1:3" s="55" customFormat="1" ht="34.5">
      <c r="A6" s="64" t="s">
        <v>326</v>
      </c>
      <c r="B6" s="64"/>
      <c r="C6" s="64"/>
    </row>
    <row r="7" spans="1:3" s="56" customFormat="1" ht="17.25">
      <c r="A7" s="45"/>
      <c r="B7" s="47"/>
      <c r="C7" s="47"/>
    </row>
    <row r="8" spans="1:3" s="56" customFormat="1" ht="69">
      <c r="A8" s="45"/>
      <c r="B8" s="95" t="s">
        <v>333</v>
      </c>
      <c r="C8" s="96" t="s">
        <v>334</v>
      </c>
    </row>
    <row r="9" spans="1:3" s="56" customFormat="1" ht="24.75" customHeight="1">
      <c r="A9" s="45"/>
      <c r="B9" s="96">
        <f>+'14տարածքներ'!E13+'14տարածքներ'!E18</f>
        <v>900</v>
      </c>
      <c r="C9" s="127">
        <f>+B9*0.8</f>
        <v>720</v>
      </c>
    </row>
    <row r="10" spans="1:3" s="56" customFormat="1" ht="17.25">
      <c r="A10" s="45"/>
      <c r="B10" s="47"/>
      <c r="C10" s="47"/>
    </row>
    <row r="11" spans="1:3" s="56" customFormat="1" ht="17.25">
      <c r="A11" s="45"/>
      <c r="B11" s="47"/>
      <c r="C11" s="47"/>
    </row>
    <row r="12" spans="1:3" ht="54.75" customHeight="1">
      <c r="A12" s="59">
        <v>1</v>
      </c>
      <c r="B12" s="53" t="s">
        <v>259</v>
      </c>
      <c r="C12" s="87" t="s">
        <v>819</v>
      </c>
    </row>
    <row r="13" spans="1:3" ht="38.25" customHeight="1">
      <c r="A13" s="59">
        <v>2</v>
      </c>
      <c r="B13" s="53" t="s">
        <v>260</v>
      </c>
      <c r="C13" s="87" t="s">
        <v>806</v>
      </c>
    </row>
    <row r="14" spans="1:3" ht="51.75" customHeight="1">
      <c r="A14" s="59">
        <v>3</v>
      </c>
      <c r="B14" s="53" t="s">
        <v>261</v>
      </c>
      <c r="C14" s="87" t="s">
        <v>820</v>
      </c>
    </row>
    <row r="15" spans="1:3" ht="38.25" customHeight="1">
      <c r="A15" s="59">
        <v>4</v>
      </c>
      <c r="B15" s="53" t="s">
        <v>255</v>
      </c>
      <c r="C15" s="87" t="s">
        <v>821</v>
      </c>
    </row>
    <row r="16" spans="1:3" ht="47.25" customHeight="1">
      <c r="A16" s="59">
        <v>5</v>
      </c>
      <c r="B16" s="53" t="s">
        <v>262</v>
      </c>
      <c r="C16" s="87"/>
    </row>
    <row r="17" spans="1:3" ht="67.5" customHeight="1">
      <c r="A17" s="43" t="s">
        <v>7</v>
      </c>
      <c r="B17" s="88" t="s">
        <v>263</v>
      </c>
      <c r="C17" s="89"/>
    </row>
    <row r="18" spans="1:3" ht="34.5" customHeight="1">
      <c r="A18" s="84" t="s">
        <v>257</v>
      </c>
      <c r="B18" s="85"/>
      <c r="C18" s="86"/>
    </row>
    <row r="19" spans="1:3" ht="41.25">
      <c r="A19" s="84"/>
      <c r="B19" s="9" t="s">
        <v>256</v>
      </c>
      <c r="C19" s="19" t="s">
        <v>258</v>
      </c>
    </row>
    <row r="20" spans="1:3" ht="69">
      <c r="A20" s="50">
        <v>1</v>
      </c>
      <c r="B20" s="129" t="s">
        <v>822</v>
      </c>
      <c r="C20" s="51" t="s">
        <v>823</v>
      </c>
    </row>
    <row r="21" spans="1:3" ht="17.25">
      <c r="A21" s="50">
        <v>2</v>
      </c>
      <c r="B21" s="51"/>
      <c r="C21" s="51"/>
    </row>
    <row r="22" spans="1:3" ht="17.25">
      <c r="A22" s="50">
        <v>3</v>
      </c>
      <c r="B22" s="51"/>
      <c r="C22" s="51"/>
    </row>
    <row r="23" spans="1:3" ht="17.25">
      <c r="A23" s="50" t="s">
        <v>153</v>
      </c>
      <c r="B23" s="51"/>
      <c r="C23" s="51"/>
    </row>
    <row r="24" spans="1:3" s="42" customFormat="1" ht="32.25" customHeight="1">
      <c r="A24" s="67"/>
      <c r="B24" s="69" t="s">
        <v>167</v>
      </c>
      <c r="C24" s="68" t="s">
        <v>824</v>
      </c>
    </row>
  </sheetData>
  <sheetProtection/>
  <mergeCells count="1">
    <mergeCell ref="B1:C1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6.140625" style="3" customWidth="1"/>
    <col min="2" max="2" width="39.140625" style="3" customWidth="1"/>
    <col min="3" max="3" width="16.57421875" style="3" customWidth="1"/>
    <col min="4" max="4" width="18.421875" style="3" customWidth="1"/>
    <col min="5" max="5" width="19.7109375" style="3" customWidth="1"/>
    <col min="6" max="6" width="23.57421875" style="3" customWidth="1"/>
    <col min="7" max="7" width="12.421875" style="3" customWidth="1"/>
    <col min="8" max="8" width="26.7109375" style="3" customWidth="1"/>
    <col min="9" max="9" width="11.28125" style="3" customWidth="1"/>
    <col min="10" max="10" width="14.00390625" style="3" customWidth="1"/>
    <col min="11" max="11" width="10.7109375" style="3" customWidth="1"/>
    <col min="12" max="12" width="10.28125" style="3" customWidth="1"/>
    <col min="13" max="16384" width="9.140625" style="3" customWidth="1"/>
  </cols>
  <sheetData>
    <row r="1" ht="16.5" customHeight="1">
      <c r="F1" s="28" t="s">
        <v>163</v>
      </c>
    </row>
    <row r="2" spans="2:6" ht="18.75" customHeight="1">
      <c r="B2" s="3" t="s">
        <v>1107</v>
      </c>
      <c r="F2" s="72" t="s">
        <v>9</v>
      </c>
    </row>
    <row r="6" spans="1:6" ht="30.75" customHeight="1">
      <c r="A6" s="1125" t="s">
        <v>245</v>
      </c>
      <c r="B6" s="1125"/>
      <c r="C6" s="1125"/>
      <c r="D6" s="1125"/>
      <c r="E6" s="1125"/>
      <c r="F6" s="1125"/>
    </row>
    <row r="7" spans="1:6" ht="38.25" customHeight="1">
      <c r="A7" s="1125" t="s">
        <v>327</v>
      </c>
      <c r="B7" s="1125"/>
      <c r="C7" s="1125"/>
      <c r="D7" s="1125"/>
      <c r="E7" s="1125"/>
      <c r="F7" s="1125"/>
    </row>
    <row r="8" spans="1:6" ht="21" customHeight="1">
      <c r="A8" s="74"/>
      <c r="B8" s="74"/>
      <c r="C8" s="74"/>
      <c r="D8" s="74"/>
      <c r="E8" s="74"/>
      <c r="F8" s="74"/>
    </row>
    <row r="9" spans="1:6" ht="23.25" customHeight="1">
      <c r="A9" s="74"/>
      <c r="B9" s="74"/>
      <c r="C9" s="74"/>
      <c r="D9" s="74"/>
      <c r="E9" s="74"/>
      <c r="F9" s="74"/>
    </row>
    <row r="10" spans="1:6" ht="19.5" customHeight="1">
      <c r="A10" s="1126" t="s">
        <v>6</v>
      </c>
      <c r="B10" s="1126" t="s">
        <v>252</v>
      </c>
      <c r="C10" s="1128" t="s">
        <v>240</v>
      </c>
      <c r="D10" s="1129"/>
      <c r="E10" s="1129"/>
      <c r="F10" s="1130"/>
    </row>
    <row r="11" spans="1:6" ht="61.5" customHeight="1">
      <c r="A11" s="1127"/>
      <c r="B11" s="1127"/>
      <c r="C11" s="73" t="s">
        <v>246</v>
      </c>
      <c r="D11" s="73" t="s">
        <v>251</v>
      </c>
      <c r="E11" s="73" t="s">
        <v>250</v>
      </c>
      <c r="F11" s="78" t="s">
        <v>247</v>
      </c>
    </row>
    <row r="12" spans="1:6" ht="18" customHeight="1">
      <c r="A12" s="77" t="s">
        <v>248</v>
      </c>
      <c r="B12" s="77">
        <v>1</v>
      </c>
      <c r="C12" s="77">
        <v>2</v>
      </c>
      <c r="D12" s="77">
        <v>3</v>
      </c>
      <c r="E12" s="77">
        <v>4</v>
      </c>
      <c r="F12" s="77">
        <v>5</v>
      </c>
    </row>
    <row r="13" spans="1:6" ht="50.25" customHeight="1">
      <c r="A13" s="79">
        <v>1</v>
      </c>
      <c r="B13" s="83" t="s">
        <v>253</v>
      </c>
      <c r="C13" s="81">
        <v>50</v>
      </c>
      <c r="D13" s="81">
        <v>30</v>
      </c>
      <c r="E13" s="81">
        <v>420</v>
      </c>
      <c r="F13" s="82">
        <f>C13*D13*E13/1000</f>
        <v>630</v>
      </c>
    </row>
    <row r="14" spans="1:6" ht="45" customHeight="1">
      <c r="A14" s="79">
        <v>2</v>
      </c>
      <c r="B14" s="83" t="s">
        <v>254</v>
      </c>
      <c r="C14" s="81">
        <v>25</v>
      </c>
      <c r="D14" s="81">
        <v>30</v>
      </c>
      <c r="E14" s="81">
        <v>420</v>
      </c>
      <c r="F14" s="82">
        <f>C14*D14*E14/1000</f>
        <v>315</v>
      </c>
    </row>
    <row r="15" spans="1:6" ht="36.75" customHeight="1">
      <c r="A15" s="75"/>
      <c r="B15" s="76" t="s">
        <v>62</v>
      </c>
      <c r="C15" s="80">
        <f>SUM(C13:C14)</f>
        <v>75</v>
      </c>
      <c r="D15" s="80" t="s">
        <v>1</v>
      </c>
      <c r="E15" s="80" t="s">
        <v>1</v>
      </c>
      <c r="F15" s="80">
        <f>SUM(F13:F14)</f>
        <v>945</v>
      </c>
    </row>
    <row r="18" ht="31.5" customHeight="1"/>
  </sheetData>
  <sheetProtection/>
  <mergeCells count="5">
    <mergeCell ref="A6:F6"/>
    <mergeCell ref="A7:F7"/>
    <mergeCell ref="A10:A11"/>
    <mergeCell ref="B10:B11"/>
    <mergeCell ref="C10:F10"/>
  </mergeCells>
  <printOptions/>
  <pageMargins left="0.35" right="0.35" top="0.29" bottom="0.37" header="0.21" footer="0.16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7">
      <selection activeCell="B9" sqref="B9:C9"/>
    </sheetView>
  </sheetViews>
  <sheetFormatPr defaultColWidth="9.140625" defaultRowHeight="12.75"/>
  <cols>
    <col min="1" max="1" width="6.28125" style="713" customWidth="1"/>
    <col min="2" max="2" width="70.8515625" style="691" customWidth="1"/>
    <col min="3" max="3" width="18.00390625" style="691" customWidth="1"/>
    <col min="4" max="16384" width="9.140625" style="691" customWidth="1"/>
  </cols>
  <sheetData>
    <row r="1" spans="1:3" s="674" customFormat="1" ht="14.25">
      <c r="A1" s="673"/>
      <c r="C1" s="675" t="s">
        <v>122</v>
      </c>
    </row>
    <row r="2" spans="1:3" s="674" customFormat="1" ht="14.25">
      <c r="A2" s="673"/>
      <c r="C2" s="676" t="s">
        <v>9</v>
      </c>
    </row>
    <row r="3" spans="1:3" s="674" customFormat="1" ht="18" thickBot="1">
      <c r="A3" s="673"/>
      <c r="B3" s="677" t="s">
        <v>816</v>
      </c>
      <c r="C3" s="678"/>
    </row>
    <row r="4" spans="1:8" s="681" customFormat="1" ht="17.25" customHeight="1">
      <c r="A4" s="679"/>
      <c r="B4" s="1134" t="s">
        <v>10</v>
      </c>
      <c r="C4" s="1134"/>
      <c r="D4" s="680"/>
      <c r="E4" s="680"/>
      <c r="F4" s="680"/>
      <c r="G4" s="680"/>
      <c r="H4" s="680"/>
    </row>
    <row r="5" spans="1:3" s="674" customFormat="1" ht="24" customHeight="1">
      <c r="A5" s="1132" t="s">
        <v>98</v>
      </c>
      <c r="B5" s="1132"/>
      <c r="C5" s="1132"/>
    </row>
    <row r="6" spans="1:3" s="674" customFormat="1" ht="13.5">
      <c r="A6" s="1133" t="s">
        <v>328</v>
      </c>
      <c r="B6" s="1133"/>
      <c r="C6" s="1133"/>
    </row>
    <row r="7" spans="1:3" s="683" customFormat="1" ht="13.5">
      <c r="A7" s="673"/>
      <c r="B7" s="682"/>
      <c r="C7" s="682"/>
    </row>
    <row r="8" spans="1:3" s="686" customFormat="1" ht="14.25">
      <c r="A8" s="673"/>
      <c r="B8" s="684" t="s">
        <v>1107</v>
      </c>
      <c r="C8" s="685"/>
    </row>
    <row r="9" spans="1:3" s="686" customFormat="1" ht="27.75" customHeight="1">
      <c r="A9" s="673"/>
      <c r="B9" s="1131" t="s">
        <v>345</v>
      </c>
      <c r="C9" s="1131"/>
    </row>
    <row r="10" spans="1:3" s="686" customFormat="1" ht="13.5">
      <c r="A10" s="673"/>
      <c r="B10" s="682"/>
      <c r="C10" s="682"/>
    </row>
    <row r="11" spans="1:3" s="686" customFormat="1" ht="35.25" customHeight="1">
      <c r="A11" s="687" t="s">
        <v>63</v>
      </c>
      <c r="B11" s="688" t="s">
        <v>118</v>
      </c>
      <c r="C11" s="688" t="s">
        <v>119</v>
      </c>
    </row>
    <row r="12" spans="1:3" s="686" customFormat="1" ht="13.5">
      <c r="A12" s="687">
        <v>1</v>
      </c>
      <c r="B12" s="688">
        <v>2</v>
      </c>
      <c r="C12" s="688">
        <v>3</v>
      </c>
    </row>
    <row r="13" spans="1:3" ht="17.25">
      <c r="A13" s="687" t="s">
        <v>2</v>
      </c>
      <c r="B13" s="689" t="s">
        <v>213</v>
      </c>
      <c r="C13" s="690">
        <f>+C14+C15</f>
        <v>7</v>
      </c>
    </row>
    <row r="14" spans="1:3" ht="13.5">
      <c r="A14" s="687"/>
      <c r="B14" s="692" t="s">
        <v>698</v>
      </c>
      <c r="C14" s="687">
        <v>1</v>
      </c>
    </row>
    <row r="15" spans="1:3" ht="13.5">
      <c r="A15" s="687"/>
      <c r="B15" s="692" t="s">
        <v>699</v>
      </c>
      <c r="C15" s="687">
        <v>6</v>
      </c>
    </row>
    <row r="16" spans="1:3" ht="17.25">
      <c r="A16" s="687" t="s">
        <v>3</v>
      </c>
      <c r="B16" s="689" t="s">
        <v>158</v>
      </c>
      <c r="C16" s="690">
        <f>+C17+C18+C19</f>
        <v>12</v>
      </c>
    </row>
    <row r="17" spans="1:3" ht="13.5">
      <c r="A17" s="687"/>
      <c r="B17" s="692" t="s">
        <v>807</v>
      </c>
      <c r="C17" s="687">
        <v>4</v>
      </c>
    </row>
    <row r="18" spans="1:3" ht="13.5">
      <c r="A18" s="687"/>
      <c r="B18" s="692" t="s">
        <v>808</v>
      </c>
      <c r="C18" s="687">
        <v>2</v>
      </c>
    </row>
    <row r="19" spans="1:3" ht="13.5">
      <c r="A19" s="687"/>
      <c r="B19" s="692" t="s">
        <v>1121</v>
      </c>
      <c r="C19" s="687">
        <v>6</v>
      </c>
    </row>
    <row r="20" spans="1:3" ht="17.25">
      <c r="A20" s="687" t="s">
        <v>4</v>
      </c>
      <c r="B20" s="693" t="s">
        <v>1122</v>
      </c>
      <c r="C20" s="694">
        <f>C21+C22+C23</f>
        <v>121</v>
      </c>
    </row>
    <row r="21" spans="1:3" ht="13.5">
      <c r="A21" s="687"/>
      <c r="B21" s="692" t="s">
        <v>205</v>
      </c>
      <c r="C21" s="687">
        <v>1</v>
      </c>
    </row>
    <row r="22" spans="1:3" ht="13.5">
      <c r="A22" s="687"/>
      <c r="B22" s="692"/>
      <c r="C22" s="687"/>
    </row>
    <row r="23" spans="1:3" ht="20.25" customHeight="1">
      <c r="A23" s="687"/>
      <c r="B23" s="695" t="s">
        <v>206</v>
      </c>
      <c r="C23" s="687">
        <f>+C25++C37</f>
        <v>120</v>
      </c>
    </row>
    <row r="24" spans="1:3" ht="14.25">
      <c r="A24" s="687"/>
      <c r="B24" s="695" t="s">
        <v>207</v>
      </c>
      <c r="C24" s="687"/>
    </row>
    <row r="25" spans="1:3" ht="14.25">
      <c r="A25" s="696" t="s">
        <v>210</v>
      </c>
      <c r="B25" s="697" t="s">
        <v>208</v>
      </c>
      <c r="C25" s="687">
        <f>+C26</f>
        <v>101</v>
      </c>
    </row>
    <row r="26" spans="1:3" ht="14.25">
      <c r="A26" s="687"/>
      <c r="B26" s="695" t="s">
        <v>120</v>
      </c>
      <c r="C26" s="687">
        <f>SUM(C28:C36)</f>
        <v>101</v>
      </c>
    </row>
    <row r="27" spans="1:8" ht="15">
      <c r="A27" s="687"/>
      <c r="B27" s="698" t="s">
        <v>112</v>
      </c>
      <c r="C27" s="687"/>
      <c r="F27" s="699"/>
      <c r="H27" s="700"/>
    </row>
    <row r="28" spans="1:3" ht="13.5">
      <c r="A28" s="687">
        <v>1</v>
      </c>
      <c r="B28" s="701" t="s">
        <v>1123</v>
      </c>
      <c r="C28" s="702">
        <f>'[1]հաստիքացուցակ'!G68</f>
        <v>12</v>
      </c>
    </row>
    <row r="29" spans="1:3" ht="13.5">
      <c r="A29" s="687">
        <v>2</v>
      </c>
      <c r="B29" s="701" t="s">
        <v>1124</v>
      </c>
      <c r="C29" s="702">
        <f>'[1]հաստիքացուցակ'!G84</f>
        <v>12</v>
      </c>
    </row>
    <row r="30" spans="1:3" ht="13.5">
      <c r="A30" s="687">
        <v>3</v>
      </c>
      <c r="B30" s="701" t="s">
        <v>1125</v>
      </c>
      <c r="C30" s="702">
        <f>'[1]հաստիքացուցակ'!G103</f>
        <v>15</v>
      </c>
    </row>
    <row r="31" spans="1:3" ht="13.5">
      <c r="A31" s="687">
        <v>4</v>
      </c>
      <c r="B31" s="701" t="s">
        <v>1126</v>
      </c>
      <c r="C31" s="702">
        <f>'[1]հաստիքացուցակ'!G122</f>
        <v>16</v>
      </c>
    </row>
    <row r="32" spans="1:3" ht="13.5">
      <c r="A32" s="687">
        <v>5</v>
      </c>
      <c r="B32" s="701" t="s">
        <v>1127</v>
      </c>
      <c r="C32" s="702">
        <f>'[1]հաստիքացուցակ'!G139</f>
        <v>13</v>
      </c>
    </row>
    <row r="33" spans="1:3" ht="13.5">
      <c r="A33" s="687">
        <v>6</v>
      </c>
      <c r="B33" s="701" t="s">
        <v>1128</v>
      </c>
      <c r="C33" s="702">
        <f>'[1]հաստիքացուցակ'!G155</f>
        <v>12</v>
      </c>
    </row>
    <row r="34" spans="1:3" ht="13.5">
      <c r="A34" s="687">
        <v>7</v>
      </c>
      <c r="B34" s="703" t="s">
        <v>1129</v>
      </c>
      <c r="C34" s="702">
        <f>'[1]հաստիքացուցակ'!G171</f>
        <v>11</v>
      </c>
    </row>
    <row r="35" spans="1:3" ht="13.5">
      <c r="A35" s="687">
        <v>8</v>
      </c>
      <c r="B35" s="703" t="s">
        <v>1130</v>
      </c>
      <c r="C35" s="702">
        <f>'[1]հաստիքացուցակ'!G185</f>
        <v>10</v>
      </c>
    </row>
    <row r="36" spans="1:3" ht="13.5">
      <c r="A36" s="687"/>
      <c r="B36" s="703"/>
      <c r="C36" s="687"/>
    </row>
    <row r="37" spans="1:3" ht="14.25">
      <c r="A37" s="696" t="s">
        <v>209</v>
      </c>
      <c r="B37" s="697" t="s">
        <v>211</v>
      </c>
      <c r="C37" s="687">
        <f>C38+C42</f>
        <v>19</v>
      </c>
    </row>
    <row r="38" spans="1:3" ht="14.25">
      <c r="A38" s="687"/>
      <c r="B38" s="695" t="s">
        <v>120</v>
      </c>
      <c r="C38" s="687">
        <f>C40+C41</f>
        <v>12</v>
      </c>
    </row>
    <row r="39" spans="1:8" ht="15">
      <c r="A39" s="687"/>
      <c r="B39" s="698" t="s">
        <v>112</v>
      </c>
      <c r="C39" s="687"/>
      <c r="F39" s="699"/>
      <c r="H39" s="700"/>
    </row>
    <row r="40" spans="1:3" ht="13.5">
      <c r="A40" s="687">
        <v>1</v>
      </c>
      <c r="B40" s="703" t="s">
        <v>1131</v>
      </c>
      <c r="C40" s="702">
        <f>'[1]հաստիքացուցակ'!G199</f>
        <v>7</v>
      </c>
    </row>
    <row r="41" spans="1:3" ht="13.5">
      <c r="A41" s="687">
        <v>2</v>
      </c>
      <c r="B41" s="703" t="s">
        <v>680</v>
      </c>
      <c r="C41" s="702">
        <f>'[1]հաստիքացուցակ'!G209</f>
        <v>5</v>
      </c>
    </row>
    <row r="42" spans="1:3" ht="14.25">
      <c r="A42" s="687"/>
      <c r="B42" s="695" t="s">
        <v>121</v>
      </c>
      <c r="C42" s="687">
        <f>C44+C45</f>
        <v>7</v>
      </c>
    </row>
    <row r="43" spans="1:3" ht="13.5">
      <c r="A43" s="687"/>
      <c r="B43" s="698" t="s">
        <v>112</v>
      </c>
      <c r="C43" s="687"/>
    </row>
    <row r="44" spans="1:3" ht="13.5">
      <c r="A44" s="687">
        <v>3</v>
      </c>
      <c r="B44" s="703" t="s">
        <v>681</v>
      </c>
      <c r="C44" s="702">
        <f>'[1]հաստիքացուցակ'!G217</f>
        <v>3</v>
      </c>
    </row>
    <row r="45" spans="1:3" ht="13.5">
      <c r="A45" s="687">
        <v>4</v>
      </c>
      <c r="B45" s="703" t="s">
        <v>682</v>
      </c>
      <c r="C45" s="702">
        <f>'[1]հաստիքացուցակ'!G225</f>
        <v>4</v>
      </c>
    </row>
    <row r="46" spans="1:3" ht="14.25" hidden="1">
      <c r="A46" s="687"/>
      <c r="B46" s="695"/>
      <c r="C46" s="704"/>
    </row>
    <row r="47" spans="1:3" ht="14.25" hidden="1">
      <c r="A47" s="687" t="s">
        <v>159</v>
      </c>
      <c r="B47" s="705" t="s">
        <v>212</v>
      </c>
      <c r="C47" s="687">
        <f>SUM(C49:C52)</f>
        <v>0</v>
      </c>
    </row>
    <row r="48" spans="1:3" ht="13.5" hidden="1">
      <c r="A48" s="687"/>
      <c r="B48" s="706" t="s">
        <v>112</v>
      </c>
      <c r="C48" s="687"/>
    </row>
    <row r="49" spans="1:3" ht="13.5" hidden="1">
      <c r="A49" s="687">
        <v>1</v>
      </c>
      <c r="B49" s="698"/>
      <c r="C49" s="687"/>
    </row>
    <row r="50" spans="1:3" ht="13.5" hidden="1">
      <c r="A50" s="687">
        <v>2</v>
      </c>
      <c r="B50" s="698"/>
      <c r="C50" s="687"/>
    </row>
    <row r="51" spans="1:3" ht="13.5" hidden="1">
      <c r="A51" s="687">
        <v>3</v>
      </c>
      <c r="B51" s="698"/>
      <c r="C51" s="687"/>
    </row>
    <row r="52" spans="1:3" ht="13.5" hidden="1">
      <c r="A52" s="687">
        <v>4</v>
      </c>
      <c r="B52" s="698"/>
      <c r="C52" s="687"/>
    </row>
    <row r="53" spans="1:3" ht="34.5">
      <c r="A53" s="687" t="s">
        <v>159</v>
      </c>
      <c r="B53" s="707" t="s">
        <v>1132</v>
      </c>
      <c r="C53" s="708">
        <f>C59+C55</f>
        <v>15</v>
      </c>
    </row>
    <row r="54" spans="1:3" ht="13.5">
      <c r="A54" s="687"/>
      <c r="B54" s="698" t="s">
        <v>112</v>
      </c>
      <c r="C54" s="687"/>
    </row>
    <row r="55" spans="1:3" ht="13.5">
      <c r="A55" s="687"/>
      <c r="B55" s="703" t="s">
        <v>1133</v>
      </c>
      <c r="C55" s="687">
        <f>C57+C58</f>
        <v>2</v>
      </c>
    </row>
    <row r="56" spans="1:3" ht="13.5">
      <c r="A56" s="687"/>
      <c r="B56" s="703" t="s">
        <v>1080</v>
      </c>
      <c r="C56" s="687"/>
    </row>
    <row r="57" spans="1:3" ht="13.5">
      <c r="A57" s="687">
        <v>1</v>
      </c>
      <c r="B57" s="703" t="s">
        <v>1134</v>
      </c>
      <c r="C57" s="702">
        <f>'[1]հաստիքացուցակ'!G232</f>
        <v>1</v>
      </c>
    </row>
    <row r="58" spans="1:3" ht="27">
      <c r="A58" s="687">
        <v>2</v>
      </c>
      <c r="B58" s="709" t="s">
        <v>1135</v>
      </c>
      <c r="C58" s="687">
        <v>1</v>
      </c>
    </row>
    <row r="59" spans="1:3" ht="27">
      <c r="A59" s="687">
        <v>3</v>
      </c>
      <c r="B59" s="709" t="s">
        <v>1136</v>
      </c>
      <c r="C59" s="702">
        <f>'[1]հաստիքացուցակ'!G251</f>
        <v>13</v>
      </c>
    </row>
    <row r="60" spans="1:3" s="712" customFormat="1" ht="30.75" customHeight="1">
      <c r="A60" s="696"/>
      <c r="B60" s="710" t="s">
        <v>160</v>
      </c>
      <c r="C60" s="711">
        <f>+C13+C16+C21+C22+C23+C47+C53</f>
        <v>155</v>
      </c>
    </row>
  </sheetData>
  <sheetProtection/>
  <mergeCells count="4">
    <mergeCell ref="B9:C9"/>
    <mergeCell ref="A5:C5"/>
    <mergeCell ref="A6:C6"/>
    <mergeCell ref="B4:C4"/>
  </mergeCells>
  <printOptions/>
  <pageMargins left="0.24" right="0.35" top="0.37" bottom="0.4" header="0.21" footer="0.19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N268"/>
  <sheetViews>
    <sheetView zoomScalePageLayoutView="0" workbookViewId="0" topLeftCell="A10">
      <selection activeCell="M1" sqref="M1:M16384"/>
    </sheetView>
  </sheetViews>
  <sheetFormatPr defaultColWidth="9.140625" defaultRowHeight="12.75"/>
  <cols>
    <col min="1" max="1" width="4.57421875" style="726" customWidth="1"/>
    <col min="2" max="2" width="24.421875" style="721" customWidth="1"/>
    <col min="3" max="3" width="18.28125" style="721" customWidth="1"/>
    <col min="4" max="4" width="12.421875" style="722" customWidth="1"/>
    <col min="5" max="5" width="19.00390625" style="721" customWidth="1"/>
    <col min="6" max="6" width="16.421875" style="721" customWidth="1"/>
    <col min="7" max="7" width="14.00390625" style="723" customWidth="1"/>
    <col min="8" max="8" width="9.28125" style="724" customWidth="1"/>
    <col min="9" max="9" width="11.00390625" style="725" customWidth="1"/>
    <col min="10" max="10" width="13.57421875" style="726" customWidth="1"/>
    <col min="11" max="11" width="9.57421875" style="721" customWidth="1"/>
    <col min="12" max="12" width="11.7109375" style="726" customWidth="1"/>
    <col min="13" max="13" width="13.28125" style="726" customWidth="1"/>
    <col min="14" max="14" width="8.421875" style="726" customWidth="1"/>
    <col min="15" max="15" width="9.57421875" style="727" customWidth="1"/>
    <col min="16" max="16" width="9.421875" style="728" customWidth="1"/>
    <col min="17" max="17" width="14.8515625" style="726" customWidth="1"/>
    <col min="18" max="18" width="8.8515625" style="721" customWidth="1"/>
    <col min="19" max="19" width="12.7109375" style="726" customWidth="1"/>
    <col min="20" max="20" width="15.28125" style="726" customWidth="1"/>
    <col min="21" max="21" width="13.7109375" style="721" customWidth="1"/>
    <col min="22" max="22" width="14.7109375" style="722" customWidth="1"/>
    <col min="23" max="23" width="10.57421875" style="721" customWidth="1"/>
    <col min="24" max="24" width="12.140625" style="722" customWidth="1"/>
    <col min="25" max="25" width="17.00390625" style="722" customWidth="1"/>
    <col min="26" max="26" width="5.421875" style="726" customWidth="1"/>
    <col min="27" max="27" width="10.140625" style="727" customWidth="1"/>
    <col min="28" max="28" width="11.00390625" style="726" customWidth="1"/>
    <col min="29" max="29" width="15.00390625" style="726" customWidth="1"/>
    <col min="30" max="30" width="13.8515625" style="726" customWidth="1"/>
    <col min="31" max="31" width="10.8515625" style="726" customWidth="1"/>
    <col min="32" max="32" width="14.7109375" style="726" customWidth="1"/>
    <col min="33" max="33" width="5.57421875" style="721" customWidth="1"/>
    <col min="34" max="34" width="9.28125" style="724" customWidth="1"/>
    <col min="35" max="35" width="9.140625" style="721" customWidth="1"/>
    <col min="36" max="36" width="15.00390625" style="721" customWidth="1"/>
    <col min="37" max="37" width="13.8515625" style="721" customWidth="1"/>
    <col min="38" max="38" width="10.8515625" style="721" customWidth="1"/>
    <col min="39" max="39" width="16.8515625" style="721" customWidth="1"/>
    <col min="40" max="57" width="9.140625" style="721" customWidth="1"/>
    <col min="58" max="58" width="3.57421875" style="721" customWidth="1"/>
    <col min="59" max="59" width="38.421875" style="721" customWidth="1"/>
    <col min="60" max="60" width="18.28125" style="721" customWidth="1"/>
    <col min="61" max="61" width="16.7109375" style="721" customWidth="1"/>
    <col min="62" max="62" width="16.140625" style="721" customWidth="1"/>
    <col min="63" max="63" width="16.421875" style="721" customWidth="1"/>
    <col min="64" max="64" width="14.00390625" style="721" customWidth="1"/>
    <col min="65" max="65" width="15.00390625" style="721" customWidth="1"/>
    <col min="66" max="66" width="11.00390625" style="721" customWidth="1"/>
    <col min="67" max="67" width="15.00390625" style="721" customWidth="1"/>
    <col min="68" max="68" width="13.8515625" style="721" customWidth="1"/>
    <col min="69" max="69" width="15.57421875" style="721" customWidth="1"/>
    <col min="70" max="70" width="14.7109375" style="721" customWidth="1"/>
    <col min="71" max="71" width="11.7109375" style="721" customWidth="1"/>
    <col min="72" max="72" width="15.00390625" style="721" customWidth="1"/>
    <col min="73" max="73" width="9.421875" style="721" customWidth="1"/>
    <col min="74" max="74" width="14.8515625" style="721" customWidth="1"/>
    <col min="75" max="75" width="10.57421875" style="721" customWidth="1"/>
    <col min="76" max="76" width="12.7109375" style="721" customWidth="1"/>
    <col min="77" max="77" width="15.28125" style="721" customWidth="1"/>
    <col min="78" max="78" width="13.7109375" style="721" bestFit="1" customWidth="1"/>
    <col min="79" max="79" width="14.7109375" style="721" customWidth="1"/>
    <col min="80" max="80" width="10.57421875" style="721" customWidth="1"/>
    <col min="81" max="81" width="12.140625" style="721" customWidth="1"/>
    <col min="82" max="82" width="17.00390625" style="721" customWidth="1"/>
    <col min="83" max="83" width="11.140625" style="721" customWidth="1"/>
    <col min="84" max="84" width="15.00390625" style="721" customWidth="1"/>
    <col min="85" max="85" width="11.00390625" style="721" customWidth="1"/>
    <col min="86" max="86" width="15.00390625" style="721" customWidth="1"/>
    <col min="87" max="87" width="13.8515625" style="721" customWidth="1"/>
    <col min="88" max="88" width="10.8515625" style="721" customWidth="1"/>
    <col min="89" max="89" width="14.7109375" style="721" customWidth="1"/>
    <col min="90" max="90" width="16.140625" style="721" customWidth="1"/>
    <col min="91" max="91" width="15.00390625" style="721" customWidth="1"/>
    <col min="92" max="92" width="13.421875" style="721" customWidth="1"/>
    <col min="93" max="93" width="15.00390625" style="721" customWidth="1"/>
    <col min="94" max="94" width="13.8515625" style="721" customWidth="1"/>
    <col min="95" max="95" width="10.8515625" style="721" customWidth="1"/>
    <col min="96" max="96" width="16.8515625" style="721" customWidth="1"/>
    <col min="97" max="16384" width="9.140625" style="721" customWidth="1"/>
  </cols>
  <sheetData>
    <row r="1" spans="2:40" ht="17.25">
      <c r="B1" s="721" t="s">
        <v>125</v>
      </c>
      <c r="K1" s="753"/>
      <c r="M1" s="526" t="s">
        <v>135</v>
      </c>
      <c r="U1" s="753"/>
      <c r="W1" s="526"/>
      <c r="X1" s="754"/>
      <c r="Z1" s="755"/>
      <c r="AA1" s="734"/>
      <c r="AB1" s="755"/>
      <c r="AC1" s="755"/>
      <c r="AD1" s="755"/>
      <c r="AE1" s="755"/>
      <c r="AF1" s="526"/>
      <c r="AG1" s="729"/>
      <c r="AH1" s="732"/>
      <c r="AI1" s="729"/>
      <c r="AJ1" s="729"/>
      <c r="AK1" s="756"/>
      <c r="AL1" s="729"/>
      <c r="AM1" s="526"/>
      <c r="AN1" s="729"/>
    </row>
    <row r="2" spans="11:40" ht="17.25">
      <c r="K2" s="753"/>
      <c r="M2" s="526"/>
      <c r="U2" s="753"/>
      <c r="W2" s="526"/>
      <c r="X2" s="754"/>
      <c r="Z2" s="755"/>
      <c r="AA2" s="734"/>
      <c r="AB2" s="755"/>
      <c r="AC2" s="755"/>
      <c r="AD2" s="755"/>
      <c r="AE2" s="755"/>
      <c r="AF2" s="526"/>
      <c r="AG2" s="729"/>
      <c r="AH2" s="732"/>
      <c r="AI2" s="729"/>
      <c r="AJ2" s="729"/>
      <c r="AK2" s="756"/>
      <c r="AL2" s="729"/>
      <c r="AM2" s="526"/>
      <c r="AN2" s="729"/>
    </row>
    <row r="3" spans="2:40" ht="24" customHeight="1" thickBot="1">
      <c r="B3" s="1138" t="s">
        <v>816</v>
      </c>
      <c r="C3" s="1138"/>
      <c r="D3" s="1138"/>
      <c r="E3" s="1138"/>
      <c r="F3" s="757"/>
      <c r="G3" s="758"/>
      <c r="H3" s="759"/>
      <c r="I3" s="760"/>
      <c r="J3" s="761"/>
      <c r="L3" s="526"/>
      <c r="M3" s="130" t="s">
        <v>9</v>
      </c>
      <c r="N3" s="526"/>
      <c r="O3" s="762"/>
      <c r="P3" s="763"/>
      <c r="Q3" s="526"/>
      <c r="R3" s="764"/>
      <c r="S3" s="765"/>
      <c r="T3" s="766"/>
      <c r="U3" s="1139"/>
      <c r="V3" s="1139"/>
      <c r="W3" s="1139"/>
      <c r="X3" s="1139"/>
      <c r="Y3" s="1139"/>
      <c r="Z3" s="766"/>
      <c r="AA3" s="762"/>
      <c r="AB3" s="765"/>
      <c r="AC3" s="765"/>
      <c r="AD3" s="755"/>
      <c r="AE3" s="526"/>
      <c r="AF3" s="130"/>
      <c r="AG3" s="767"/>
      <c r="AH3" s="768"/>
      <c r="AI3" s="769"/>
      <c r="AJ3" s="769"/>
      <c r="AK3" s="729"/>
      <c r="AL3" s="764"/>
      <c r="AM3" s="131"/>
      <c r="AN3" s="729"/>
    </row>
    <row r="4" spans="1:39" s="729" customFormat="1" ht="69.75" customHeight="1">
      <c r="A4" s="726"/>
      <c r="B4" s="770" t="s">
        <v>1137</v>
      </c>
      <c r="C4" s="770"/>
      <c r="D4" s="754"/>
      <c r="E4" s="753"/>
      <c r="F4" s="753"/>
      <c r="G4" s="1140"/>
      <c r="H4" s="1140"/>
      <c r="I4" s="1140"/>
      <c r="J4" s="726"/>
      <c r="K4" s="721"/>
      <c r="L4" s="726"/>
      <c r="M4" s="726" t="s">
        <v>123</v>
      </c>
      <c r="N4" s="765"/>
      <c r="O4" s="727"/>
      <c r="P4" s="728"/>
      <c r="Q4" s="726"/>
      <c r="R4" s="721"/>
      <c r="S4" s="726"/>
      <c r="T4" s="755"/>
      <c r="U4" s="721"/>
      <c r="V4" s="722"/>
      <c r="W4" s="721"/>
      <c r="X4" s="722"/>
      <c r="Y4" s="723"/>
      <c r="Z4" s="766"/>
      <c r="AA4" s="727"/>
      <c r="AB4" s="726"/>
      <c r="AC4" s="726"/>
      <c r="AD4" s="726"/>
      <c r="AE4" s="726"/>
      <c r="AF4" s="726"/>
      <c r="AG4" s="771"/>
      <c r="AH4" s="772"/>
      <c r="AI4" s="721"/>
      <c r="AJ4" s="721"/>
      <c r="AK4" s="721"/>
      <c r="AL4" s="721"/>
      <c r="AM4" s="726"/>
    </row>
    <row r="5" spans="1:39" s="736" customFormat="1" ht="29.25" customHeight="1">
      <c r="A5" s="773"/>
      <c r="B5" s="1141" t="s">
        <v>126</v>
      </c>
      <c r="C5" s="1143" t="s">
        <v>341</v>
      </c>
      <c r="D5" s="1145" t="s">
        <v>297</v>
      </c>
      <c r="E5" s="774"/>
      <c r="F5" s="775"/>
      <c r="G5" s="776"/>
      <c r="H5" s="777"/>
      <c r="I5" s="778"/>
      <c r="J5" s="779" t="s">
        <v>241</v>
      </c>
      <c r="K5" s="775"/>
      <c r="L5" s="779"/>
      <c r="M5" s="780"/>
      <c r="N5" s="781"/>
      <c r="O5" s="782"/>
      <c r="P5" s="783"/>
      <c r="Q5" s="781" t="s">
        <v>232</v>
      </c>
      <c r="R5" s="784"/>
      <c r="S5" s="781"/>
      <c r="T5" s="785"/>
      <c r="U5" s="1147" t="s">
        <v>124</v>
      </c>
      <c r="V5" s="1148"/>
      <c r="W5" s="1148"/>
      <c r="X5" s="1148"/>
      <c r="Y5" s="1149"/>
      <c r="Z5" s="1150" t="s">
        <v>294</v>
      </c>
      <c r="AA5" s="1151"/>
      <c r="AB5" s="1151"/>
      <c r="AC5" s="1151"/>
      <c r="AD5" s="1151"/>
      <c r="AE5" s="1151"/>
      <c r="AF5" s="1152"/>
      <c r="AG5" s="1150" t="s">
        <v>1138</v>
      </c>
      <c r="AH5" s="1151"/>
      <c r="AI5" s="1151"/>
      <c r="AJ5" s="1151"/>
      <c r="AK5" s="1151"/>
      <c r="AL5" s="1151"/>
      <c r="AM5" s="1152"/>
    </row>
    <row r="6" spans="1:39" s="729" customFormat="1" ht="243" customHeight="1">
      <c r="A6" s="786" t="s">
        <v>63</v>
      </c>
      <c r="B6" s="1142"/>
      <c r="C6" s="1144"/>
      <c r="D6" s="1146"/>
      <c r="E6" s="787" t="s">
        <v>127</v>
      </c>
      <c r="F6" s="787" t="s">
        <v>128</v>
      </c>
      <c r="G6" s="788" t="s">
        <v>119</v>
      </c>
      <c r="H6" s="714" t="s">
        <v>242</v>
      </c>
      <c r="I6" s="715" t="s">
        <v>243</v>
      </c>
      <c r="J6" s="789" t="s">
        <v>1139</v>
      </c>
      <c r="K6" s="787" t="s">
        <v>129</v>
      </c>
      <c r="L6" s="787" t="s">
        <v>300</v>
      </c>
      <c r="M6" s="787" t="s">
        <v>302</v>
      </c>
      <c r="N6" s="787" t="s">
        <v>119</v>
      </c>
      <c r="O6" s="714" t="s">
        <v>233</v>
      </c>
      <c r="P6" s="715" t="s">
        <v>234</v>
      </c>
      <c r="Q6" s="787" t="s">
        <v>136</v>
      </c>
      <c r="R6" s="787" t="s">
        <v>129</v>
      </c>
      <c r="S6" s="787" t="s">
        <v>300</v>
      </c>
      <c r="T6" s="787" t="s">
        <v>301</v>
      </c>
      <c r="U6" s="787" t="s">
        <v>119</v>
      </c>
      <c r="V6" s="788" t="s">
        <v>136</v>
      </c>
      <c r="W6" s="787" t="s">
        <v>129</v>
      </c>
      <c r="X6" s="788" t="s">
        <v>300</v>
      </c>
      <c r="Y6" s="788" t="s">
        <v>305</v>
      </c>
      <c r="Z6" s="787" t="s">
        <v>119</v>
      </c>
      <c r="AA6" s="714" t="s">
        <v>298</v>
      </c>
      <c r="AB6" s="716" t="s">
        <v>299</v>
      </c>
      <c r="AC6" s="787" t="s">
        <v>136</v>
      </c>
      <c r="AD6" s="787" t="s">
        <v>129</v>
      </c>
      <c r="AE6" s="787" t="s">
        <v>300</v>
      </c>
      <c r="AF6" s="787" t="s">
        <v>303</v>
      </c>
      <c r="AG6" s="787" t="s">
        <v>119</v>
      </c>
      <c r="AH6" s="714" t="s">
        <v>1140</v>
      </c>
      <c r="AI6" s="716" t="s">
        <v>1141</v>
      </c>
      <c r="AJ6" s="787" t="s">
        <v>136</v>
      </c>
      <c r="AK6" s="787" t="s">
        <v>129</v>
      </c>
      <c r="AL6" s="787" t="s">
        <v>300</v>
      </c>
      <c r="AM6" s="787" t="s">
        <v>304</v>
      </c>
    </row>
    <row r="7" spans="1:39" s="729" customFormat="1" ht="17.25">
      <c r="A7" s="790">
        <v>1</v>
      </c>
      <c r="B7" s="790">
        <v>1</v>
      </c>
      <c r="C7" s="790">
        <v>2</v>
      </c>
      <c r="D7" s="719">
        <v>3</v>
      </c>
      <c r="E7" s="790">
        <v>4</v>
      </c>
      <c r="F7" s="790">
        <v>5</v>
      </c>
      <c r="G7" s="719">
        <v>6</v>
      </c>
      <c r="H7" s="791">
        <v>7</v>
      </c>
      <c r="I7" s="719">
        <v>8</v>
      </c>
      <c r="J7" s="790">
        <v>9</v>
      </c>
      <c r="K7" s="790">
        <v>10</v>
      </c>
      <c r="L7" s="790">
        <v>11</v>
      </c>
      <c r="M7" s="790">
        <v>12</v>
      </c>
      <c r="N7" s="790">
        <v>13</v>
      </c>
      <c r="O7" s="791">
        <v>14</v>
      </c>
      <c r="P7" s="719">
        <v>15</v>
      </c>
      <c r="Q7" s="790">
        <v>16</v>
      </c>
      <c r="R7" s="790">
        <v>17</v>
      </c>
      <c r="S7" s="790">
        <v>18</v>
      </c>
      <c r="T7" s="790">
        <v>19</v>
      </c>
      <c r="U7" s="790">
        <v>20</v>
      </c>
      <c r="V7" s="719">
        <v>21</v>
      </c>
      <c r="W7" s="790">
        <v>22</v>
      </c>
      <c r="X7" s="719">
        <v>23</v>
      </c>
      <c r="Y7" s="719">
        <v>24</v>
      </c>
      <c r="Z7" s="790">
        <v>25</v>
      </c>
      <c r="AA7" s="791">
        <v>26</v>
      </c>
      <c r="AB7" s="790">
        <v>27</v>
      </c>
      <c r="AC7" s="790">
        <v>28</v>
      </c>
      <c r="AD7" s="790">
        <v>29</v>
      </c>
      <c r="AE7" s="790">
        <v>30</v>
      </c>
      <c r="AF7" s="790">
        <v>31</v>
      </c>
      <c r="AG7" s="790">
        <v>32</v>
      </c>
      <c r="AH7" s="791">
        <v>33</v>
      </c>
      <c r="AI7" s="790">
        <v>34</v>
      </c>
      <c r="AJ7" s="790">
        <v>35</v>
      </c>
      <c r="AK7" s="790">
        <v>36</v>
      </c>
      <c r="AL7" s="790">
        <v>37</v>
      </c>
      <c r="AM7" s="790">
        <v>38</v>
      </c>
    </row>
    <row r="8" spans="1:39" ht="18.75" customHeight="1">
      <c r="A8" s="792" t="s">
        <v>2</v>
      </c>
      <c r="B8" s="793" t="s">
        <v>213</v>
      </c>
      <c r="C8" s="793"/>
      <c r="D8" s="719"/>
      <c r="E8" s="718"/>
      <c r="F8" s="718"/>
      <c r="G8" s="794"/>
      <c r="H8" s="791"/>
      <c r="I8" s="795"/>
      <c r="J8" s="718"/>
      <c r="K8" s="718"/>
      <c r="L8" s="718"/>
      <c r="M8" s="718"/>
      <c r="N8" s="796"/>
      <c r="O8" s="791"/>
      <c r="P8" s="795"/>
      <c r="Q8" s="718"/>
      <c r="R8" s="718"/>
      <c r="S8" s="718"/>
      <c r="T8" s="718"/>
      <c r="U8" s="718"/>
      <c r="V8" s="719"/>
      <c r="W8" s="718"/>
      <c r="X8" s="719"/>
      <c r="Y8" s="719"/>
      <c r="Z8" s="796"/>
      <c r="AA8" s="791"/>
      <c r="AB8" s="718"/>
      <c r="AC8" s="718"/>
      <c r="AD8" s="718"/>
      <c r="AE8" s="718"/>
      <c r="AF8" s="718"/>
      <c r="AG8" s="793"/>
      <c r="AH8" s="791"/>
      <c r="AI8" s="718"/>
      <c r="AJ8" s="718"/>
      <c r="AK8" s="718"/>
      <c r="AL8" s="718"/>
      <c r="AM8" s="718"/>
    </row>
    <row r="9" spans="1:39" ht="17.25">
      <c r="A9" s="790"/>
      <c r="B9" s="797" t="s">
        <v>112</v>
      </c>
      <c r="C9" s="797"/>
      <c r="D9" s="719"/>
      <c r="E9" s="718"/>
      <c r="F9" s="718"/>
      <c r="G9" s="719"/>
      <c r="H9" s="791"/>
      <c r="I9" s="795"/>
      <c r="J9" s="718"/>
      <c r="K9" s="718"/>
      <c r="L9" s="718"/>
      <c r="M9" s="718"/>
      <c r="N9" s="790"/>
      <c r="O9" s="791"/>
      <c r="P9" s="795"/>
      <c r="Q9" s="718"/>
      <c r="R9" s="718"/>
      <c r="S9" s="718"/>
      <c r="T9" s="718"/>
      <c r="U9" s="718"/>
      <c r="V9" s="719"/>
      <c r="W9" s="718"/>
      <c r="X9" s="719"/>
      <c r="Y9" s="719"/>
      <c r="Z9" s="790"/>
      <c r="AA9" s="791"/>
      <c r="AB9" s="718"/>
      <c r="AC9" s="718"/>
      <c r="AD9" s="718"/>
      <c r="AE9" s="718"/>
      <c r="AF9" s="718"/>
      <c r="AG9" s="797"/>
      <c r="AH9" s="791"/>
      <c r="AI9" s="718"/>
      <c r="AJ9" s="718"/>
      <c r="AK9" s="718"/>
      <c r="AL9" s="718"/>
      <c r="AM9" s="718"/>
    </row>
    <row r="10" spans="1:39" ht="17.25">
      <c r="A10" s="790"/>
      <c r="B10" s="797"/>
      <c r="C10" s="797"/>
      <c r="D10" s="719"/>
      <c r="E10" s="718"/>
      <c r="F10" s="718"/>
      <c r="G10" s="719"/>
      <c r="H10" s="791"/>
      <c r="I10" s="795"/>
      <c r="J10" s="790"/>
      <c r="K10" s="797"/>
      <c r="L10" s="790"/>
      <c r="M10" s="790"/>
      <c r="N10" s="790"/>
      <c r="O10" s="791"/>
      <c r="P10" s="795"/>
      <c r="Q10" s="790"/>
      <c r="R10" s="797"/>
      <c r="S10" s="790"/>
      <c r="T10" s="790"/>
      <c r="U10" s="797"/>
      <c r="V10" s="798"/>
      <c r="W10" s="797"/>
      <c r="X10" s="798"/>
      <c r="Y10" s="798"/>
      <c r="Z10" s="790"/>
      <c r="AA10" s="791"/>
      <c r="AB10" s="718"/>
      <c r="AC10" s="790"/>
      <c r="AD10" s="790"/>
      <c r="AE10" s="790"/>
      <c r="AF10" s="790"/>
      <c r="AG10" s="797"/>
      <c r="AH10" s="791"/>
      <c r="AI10" s="718"/>
      <c r="AJ10" s="797"/>
      <c r="AK10" s="797"/>
      <c r="AL10" s="797"/>
      <c r="AM10" s="797"/>
    </row>
    <row r="11" spans="1:39" ht="34.5">
      <c r="A11" s="790">
        <v>1</v>
      </c>
      <c r="B11" s="797" t="s">
        <v>692</v>
      </c>
      <c r="C11" s="790" t="s">
        <v>697</v>
      </c>
      <c r="D11" s="719">
        <v>1971</v>
      </c>
      <c r="E11" s="799" t="s">
        <v>698</v>
      </c>
      <c r="F11" s="718" t="s">
        <v>1</v>
      </c>
      <c r="G11" s="800">
        <v>1</v>
      </c>
      <c r="H11" s="791" t="s">
        <v>1</v>
      </c>
      <c r="I11" s="795">
        <v>15</v>
      </c>
      <c r="J11" s="790">
        <f>I11*I260</f>
        <v>1248000</v>
      </c>
      <c r="K11" s="790"/>
      <c r="L11" s="790"/>
      <c r="M11" s="719">
        <f aca="true" t="shared" si="0" ref="M11:M17">J11+K11+L11</f>
        <v>1248000</v>
      </c>
      <c r="N11" s="790">
        <v>1</v>
      </c>
      <c r="O11" s="791" t="s">
        <v>1</v>
      </c>
      <c r="P11" s="795">
        <v>15</v>
      </c>
      <c r="Q11" s="790">
        <f aca="true" t="shared" si="1" ref="Q11:Q17">P11*83200</f>
        <v>1248000</v>
      </c>
      <c r="R11" s="790"/>
      <c r="S11" s="790"/>
      <c r="T11" s="719">
        <f aca="true" t="shared" si="2" ref="T11:T17">Q11+R11+S11</f>
        <v>1248000</v>
      </c>
      <c r="U11" s="718">
        <f aca="true" t="shared" si="3" ref="U11:U17">+G11-N11</f>
        <v>0</v>
      </c>
      <c r="V11" s="719">
        <f aca="true" t="shared" si="4" ref="V11:X17">J11-Q11</f>
        <v>0</v>
      </c>
      <c r="W11" s="718">
        <f t="shared" si="4"/>
        <v>0</v>
      </c>
      <c r="X11" s="719">
        <f t="shared" si="4"/>
        <v>0</v>
      </c>
      <c r="Y11" s="719">
        <f aca="true" t="shared" si="5" ref="Y11:Y17">V11+W11+X11</f>
        <v>0</v>
      </c>
      <c r="Z11" s="790">
        <v>1</v>
      </c>
      <c r="AA11" s="791" t="s">
        <v>1</v>
      </c>
      <c r="AB11" s="718">
        <v>15</v>
      </c>
      <c r="AC11" s="790">
        <f>AB11*I260</f>
        <v>1248000</v>
      </c>
      <c r="AD11" s="790"/>
      <c r="AE11" s="790"/>
      <c r="AF11" s="719">
        <f aca="true" t="shared" si="6" ref="AF11:AF17">AC11+AD11+AE11</f>
        <v>1248000</v>
      </c>
      <c r="AG11" s="790">
        <v>1</v>
      </c>
      <c r="AH11" s="791" t="s">
        <v>1</v>
      </c>
      <c r="AI11" s="718">
        <v>15</v>
      </c>
      <c r="AJ11" s="790">
        <f>AI11*I260</f>
        <v>1248000</v>
      </c>
      <c r="AK11" s="790"/>
      <c r="AL11" s="790"/>
      <c r="AM11" s="719">
        <f aca="true" t="shared" si="7" ref="AM11:AM17">AJ11+AK11+AL11</f>
        <v>1248000</v>
      </c>
    </row>
    <row r="12" spans="1:39" ht="34.5">
      <c r="A12" s="790">
        <v>2</v>
      </c>
      <c r="B12" s="797" t="s">
        <v>717</v>
      </c>
      <c r="C12" s="790" t="s">
        <v>697</v>
      </c>
      <c r="D12" s="719">
        <v>1966</v>
      </c>
      <c r="E12" s="799" t="s">
        <v>699</v>
      </c>
      <c r="F12" s="718" t="s">
        <v>1</v>
      </c>
      <c r="G12" s="800">
        <v>1</v>
      </c>
      <c r="H12" s="791" t="s">
        <v>1</v>
      </c>
      <c r="I12" s="795">
        <v>10</v>
      </c>
      <c r="J12" s="790">
        <f>I12*I260</f>
        <v>832000</v>
      </c>
      <c r="K12" s="790"/>
      <c r="L12" s="790"/>
      <c r="M12" s="719">
        <f t="shared" si="0"/>
        <v>832000</v>
      </c>
      <c r="N12" s="790">
        <v>1</v>
      </c>
      <c r="O12" s="791" t="s">
        <v>1</v>
      </c>
      <c r="P12" s="795">
        <v>10</v>
      </c>
      <c r="Q12" s="790">
        <f t="shared" si="1"/>
        <v>832000</v>
      </c>
      <c r="R12" s="790"/>
      <c r="S12" s="790"/>
      <c r="T12" s="719">
        <f t="shared" si="2"/>
        <v>832000</v>
      </c>
      <c r="U12" s="718">
        <f t="shared" si="3"/>
        <v>0</v>
      </c>
      <c r="V12" s="719">
        <f t="shared" si="4"/>
        <v>0</v>
      </c>
      <c r="W12" s="718">
        <f t="shared" si="4"/>
        <v>0</v>
      </c>
      <c r="X12" s="719">
        <f t="shared" si="4"/>
        <v>0</v>
      </c>
      <c r="Y12" s="719">
        <f t="shared" si="5"/>
        <v>0</v>
      </c>
      <c r="Z12" s="790">
        <v>1</v>
      </c>
      <c r="AA12" s="791" t="s">
        <v>1</v>
      </c>
      <c r="AB12" s="718">
        <v>10</v>
      </c>
      <c r="AC12" s="790">
        <f>AB12*I260</f>
        <v>832000</v>
      </c>
      <c r="AD12" s="790"/>
      <c r="AE12" s="790"/>
      <c r="AF12" s="719">
        <f t="shared" si="6"/>
        <v>832000</v>
      </c>
      <c r="AG12" s="790">
        <v>1</v>
      </c>
      <c r="AH12" s="791" t="s">
        <v>1</v>
      </c>
      <c r="AI12" s="718">
        <v>10</v>
      </c>
      <c r="AJ12" s="790">
        <f>AI12*I260</f>
        <v>832000</v>
      </c>
      <c r="AK12" s="790"/>
      <c r="AL12" s="790"/>
      <c r="AM12" s="719">
        <f t="shared" si="7"/>
        <v>832000</v>
      </c>
    </row>
    <row r="13" spans="1:39" ht="34.5">
      <c r="A13" s="790">
        <v>3</v>
      </c>
      <c r="B13" s="797" t="s">
        <v>688</v>
      </c>
      <c r="C13" s="790" t="s">
        <v>697</v>
      </c>
      <c r="D13" s="719">
        <v>1977</v>
      </c>
      <c r="E13" s="799" t="s">
        <v>699</v>
      </c>
      <c r="F13" s="718" t="s">
        <v>1</v>
      </c>
      <c r="G13" s="800">
        <v>1</v>
      </c>
      <c r="H13" s="791" t="s">
        <v>1</v>
      </c>
      <c r="I13" s="795">
        <v>10</v>
      </c>
      <c r="J13" s="790">
        <f>I13*I260</f>
        <v>832000</v>
      </c>
      <c r="K13" s="790"/>
      <c r="L13" s="790"/>
      <c r="M13" s="719">
        <f t="shared" si="0"/>
        <v>832000</v>
      </c>
      <c r="N13" s="790">
        <v>1</v>
      </c>
      <c r="O13" s="791" t="s">
        <v>1</v>
      </c>
      <c r="P13" s="795">
        <v>10</v>
      </c>
      <c r="Q13" s="790">
        <f t="shared" si="1"/>
        <v>832000</v>
      </c>
      <c r="R13" s="790"/>
      <c r="S13" s="790"/>
      <c r="T13" s="719">
        <f t="shared" si="2"/>
        <v>832000</v>
      </c>
      <c r="U13" s="718">
        <f t="shared" si="3"/>
        <v>0</v>
      </c>
      <c r="V13" s="719">
        <f t="shared" si="4"/>
        <v>0</v>
      </c>
      <c r="W13" s="718">
        <f t="shared" si="4"/>
        <v>0</v>
      </c>
      <c r="X13" s="719">
        <f t="shared" si="4"/>
        <v>0</v>
      </c>
      <c r="Y13" s="719">
        <f t="shared" si="5"/>
        <v>0</v>
      </c>
      <c r="Z13" s="790">
        <v>1</v>
      </c>
      <c r="AA13" s="791" t="s">
        <v>1</v>
      </c>
      <c r="AB13" s="718">
        <v>10</v>
      </c>
      <c r="AC13" s="790">
        <f>AB13*I260</f>
        <v>832000</v>
      </c>
      <c r="AD13" s="790"/>
      <c r="AE13" s="790"/>
      <c r="AF13" s="719">
        <f t="shared" si="6"/>
        <v>832000</v>
      </c>
      <c r="AG13" s="790">
        <v>1</v>
      </c>
      <c r="AH13" s="791" t="s">
        <v>1</v>
      </c>
      <c r="AI13" s="718">
        <v>10</v>
      </c>
      <c r="AJ13" s="790">
        <f>AI13*I260</f>
        <v>832000</v>
      </c>
      <c r="AK13" s="790"/>
      <c r="AL13" s="790"/>
      <c r="AM13" s="719">
        <f t="shared" si="7"/>
        <v>832000</v>
      </c>
    </row>
    <row r="14" spans="1:39" ht="34.5">
      <c r="A14" s="790">
        <v>4</v>
      </c>
      <c r="B14" s="797" t="s">
        <v>689</v>
      </c>
      <c r="C14" s="790" t="s">
        <v>697</v>
      </c>
      <c r="D14" s="719">
        <v>1979</v>
      </c>
      <c r="E14" s="799" t="s">
        <v>699</v>
      </c>
      <c r="F14" s="718" t="s">
        <v>1</v>
      </c>
      <c r="G14" s="800">
        <v>1</v>
      </c>
      <c r="H14" s="791" t="s">
        <v>1</v>
      </c>
      <c r="I14" s="795">
        <v>10</v>
      </c>
      <c r="J14" s="790">
        <f>I14*I260</f>
        <v>832000</v>
      </c>
      <c r="K14" s="790"/>
      <c r="L14" s="790"/>
      <c r="M14" s="719">
        <f t="shared" si="0"/>
        <v>832000</v>
      </c>
      <c r="N14" s="790">
        <v>1</v>
      </c>
      <c r="O14" s="791" t="s">
        <v>1</v>
      </c>
      <c r="P14" s="795">
        <v>10</v>
      </c>
      <c r="Q14" s="790">
        <f t="shared" si="1"/>
        <v>832000</v>
      </c>
      <c r="R14" s="790"/>
      <c r="S14" s="790"/>
      <c r="T14" s="719">
        <f t="shared" si="2"/>
        <v>832000</v>
      </c>
      <c r="U14" s="718">
        <f t="shared" si="3"/>
        <v>0</v>
      </c>
      <c r="V14" s="719">
        <f t="shared" si="4"/>
        <v>0</v>
      </c>
      <c r="W14" s="718">
        <f t="shared" si="4"/>
        <v>0</v>
      </c>
      <c r="X14" s="719">
        <f t="shared" si="4"/>
        <v>0</v>
      </c>
      <c r="Y14" s="719">
        <f t="shared" si="5"/>
        <v>0</v>
      </c>
      <c r="Z14" s="790">
        <v>1</v>
      </c>
      <c r="AA14" s="791" t="s">
        <v>1</v>
      </c>
      <c r="AB14" s="718">
        <v>10</v>
      </c>
      <c r="AC14" s="790">
        <f>AB14*I260</f>
        <v>832000</v>
      </c>
      <c r="AD14" s="790"/>
      <c r="AE14" s="790"/>
      <c r="AF14" s="719">
        <f t="shared" si="6"/>
        <v>832000</v>
      </c>
      <c r="AG14" s="790">
        <v>1</v>
      </c>
      <c r="AH14" s="791" t="s">
        <v>1</v>
      </c>
      <c r="AI14" s="718">
        <v>10</v>
      </c>
      <c r="AJ14" s="790">
        <f>AI14*I260</f>
        <v>832000</v>
      </c>
      <c r="AK14" s="790"/>
      <c r="AL14" s="790"/>
      <c r="AM14" s="719">
        <f t="shared" si="7"/>
        <v>832000</v>
      </c>
    </row>
    <row r="15" spans="1:39" ht="34.5">
      <c r="A15" s="790">
        <v>5</v>
      </c>
      <c r="B15" s="797" t="s">
        <v>691</v>
      </c>
      <c r="C15" s="790" t="s">
        <v>697</v>
      </c>
      <c r="D15" s="719">
        <v>1975</v>
      </c>
      <c r="E15" s="799" t="s">
        <v>699</v>
      </c>
      <c r="F15" s="718" t="s">
        <v>1</v>
      </c>
      <c r="G15" s="800">
        <v>1</v>
      </c>
      <c r="H15" s="791" t="s">
        <v>1</v>
      </c>
      <c r="I15" s="795">
        <v>10</v>
      </c>
      <c r="J15" s="790">
        <f>I15*I260</f>
        <v>832000</v>
      </c>
      <c r="K15" s="790"/>
      <c r="L15" s="790"/>
      <c r="M15" s="719">
        <f t="shared" si="0"/>
        <v>832000</v>
      </c>
      <c r="N15" s="790">
        <v>1</v>
      </c>
      <c r="O15" s="791" t="s">
        <v>1</v>
      </c>
      <c r="P15" s="795">
        <v>10</v>
      </c>
      <c r="Q15" s="790">
        <f t="shared" si="1"/>
        <v>832000</v>
      </c>
      <c r="R15" s="790"/>
      <c r="S15" s="790"/>
      <c r="T15" s="719">
        <f t="shared" si="2"/>
        <v>832000</v>
      </c>
      <c r="U15" s="718">
        <f t="shared" si="3"/>
        <v>0</v>
      </c>
      <c r="V15" s="719">
        <f t="shared" si="4"/>
        <v>0</v>
      </c>
      <c r="W15" s="718">
        <f t="shared" si="4"/>
        <v>0</v>
      </c>
      <c r="X15" s="719">
        <f t="shared" si="4"/>
        <v>0</v>
      </c>
      <c r="Y15" s="719">
        <f t="shared" si="5"/>
        <v>0</v>
      </c>
      <c r="Z15" s="790">
        <v>1</v>
      </c>
      <c r="AA15" s="791" t="s">
        <v>1</v>
      </c>
      <c r="AB15" s="718">
        <v>10</v>
      </c>
      <c r="AC15" s="790">
        <f>AB15*I260</f>
        <v>832000</v>
      </c>
      <c r="AD15" s="790"/>
      <c r="AE15" s="790"/>
      <c r="AF15" s="719">
        <f t="shared" si="6"/>
        <v>832000</v>
      </c>
      <c r="AG15" s="790">
        <v>1</v>
      </c>
      <c r="AH15" s="791" t="s">
        <v>1</v>
      </c>
      <c r="AI15" s="718">
        <v>10</v>
      </c>
      <c r="AJ15" s="790">
        <f>AI15*I260</f>
        <v>832000</v>
      </c>
      <c r="AK15" s="790"/>
      <c r="AL15" s="790"/>
      <c r="AM15" s="719">
        <f t="shared" si="7"/>
        <v>832000</v>
      </c>
    </row>
    <row r="16" spans="1:39" ht="34.5">
      <c r="A16" s="790">
        <v>6</v>
      </c>
      <c r="B16" s="797" t="s">
        <v>690</v>
      </c>
      <c r="C16" s="790" t="s">
        <v>697</v>
      </c>
      <c r="D16" s="719">
        <v>1983</v>
      </c>
      <c r="E16" s="799" t="s">
        <v>699</v>
      </c>
      <c r="F16" s="718" t="s">
        <v>1</v>
      </c>
      <c r="G16" s="800">
        <v>1</v>
      </c>
      <c r="H16" s="791" t="s">
        <v>1</v>
      </c>
      <c r="I16" s="795">
        <v>10</v>
      </c>
      <c r="J16" s="790">
        <f>I16*I260</f>
        <v>832000</v>
      </c>
      <c r="K16" s="790"/>
      <c r="L16" s="790"/>
      <c r="M16" s="719">
        <f t="shared" si="0"/>
        <v>832000</v>
      </c>
      <c r="N16" s="790">
        <v>1</v>
      </c>
      <c r="O16" s="791" t="s">
        <v>1</v>
      </c>
      <c r="P16" s="795">
        <v>10</v>
      </c>
      <c r="Q16" s="790">
        <f t="shared" si="1"/>
        <v>832000</v>
      </c>
      <c r="R16" s="790"/>
      <c r="S16" s="790"/>
      <c r="T16" s="719">
        <f t="shared" si="2"/>
        <v>832000</v>
      </c>
      <c r="U16" s="718">
        <f t="shared" si="3"/>
        <v>0</v>
      </c>
      <c r="V16" s="719">
        <f t="shared" si="4"/>
        <v>0</v>
      </c>
      <c r="W16" s="718">
        <f t="shared" si="4"/>
        <v>0</v>
      </c>
      <c r="X16" s="719">
        <f t="shared" si="4"/>
        <v>0</v>
      </c>
      <c r="Y16" s="719">
        <f t="shared" si="5"/>
        <v>0</v>
      </c>
      <c r="Z16" s="790">
        <v>1</v>
      </c>
      <c r="AA16" s="791" t="s">
        <v>1</v>
      </c>
      <c r="AB16" s="718">
        <v>10</v>
      </c>
      <c r="AC16" s="790">
        <f>AB16*I260</f>
        <v>832000</v>
      </c>
      <c r="AD16" s="790"/>
      <c r="AE16" s="790"/>
      <c r="AF16" s="719">
        <f t="shared" si="6"/>
        <v>832000</v>
      </c>
      <c r="AG16" s="790">
        <v>1</v>
      </c>
      <c r="AH16" s="791" t="s">
        <v>1</v>
      </c>
      <c r="AI16" s="718">
        <v>10</v>
      </c>
      <c r="AJ16" s="790">
        <f>AI16*I260</f>
        <v>832000</v>
      </c>
      <c r="AK16" s="790"/>
      <c r="AL16" s="790"/>
      <c r="AM16" s="719">
        <f t="shared" si="7"/>
        <v>832000</v>
      </c>
    </row>
    <row r="17" spans="1:39" ht="34.5">
      <c r="A17" s="790">
        <v>7</v>
      </c>
      <c r="B17" s="797" t="s">
        <v>693</v>
      </c>
      <c r="C17" s="790" t="s">
        <v>697</v>
      </c>
      <c r="D17" s="719">
        <v>1975</v>
      </c>
      <c r="E17" s="799" t="s">
        <v>699</v>
      </c>
      <c r="F17" s="718" t="s">
        <v>1</v>
      </c>
      <c r="G17" s="800">
        <v>1</v>
      </c>
      <c r="H17" s="791" t="s">
        <v>1</v>
      </c>
      <c r="I17" s="795">
        <v>10</v>
      </c>
      <c r="J17" s="790">
        <f>I17*I260</f>
        <v>832000</v>
      </c>
      <c r="K17" s="790"/>
      <c r="L17" s="790"/>
      <c r="M17" s="719">
        <f t="shared" si="0"/>
        <v>832000</v>
      </c>
      <c r="N17" s="790">
        <v>1</v>
      </c>
      <c r="O17" s="791" t="s">
        <v>1</v>
      </c>
      <c r="P17" s="795">
        <v>10</v>
      </c>
      <c r="Q17" s="790">
        <f t="shared" si="1"/>
        <v>832000</v>
      </c>
      <c r="R17" s="790"/>
      <c r="S17" s="790"/>
      <c r="T17" s="719">
        <f t="shared" si="2"/>
        <v>832000</v>
      </c>
      <c r="U17" s="718">
        <f t="shared" si="3"/>
        <v>0</v>
      </c>
      <c r="V17" s="719">
        <f t="shared" si="4"/>
        <v>0</v>
      </c>
      <c r="W17" s="718">
        <f t="shared" si="4"/>
        <v>0</v>
      </c>
      <c r="X17" s="719">
        <f t="shared" si="4"/>
        <v>0</v>
      </c>
      <c r="Y17" s="719">
        <f t="shared" si="5"/>
        <v>0</v>
      </c>
      <c r="Z17" s="790">
        <v>1</v>
      </c>
      <c r="AA17" s="791" t="s">
        <v>1</v>
      </c>
      <c r="AB17" s="718">
        <v>10</v>
      </c>
      <c r="AC17" s="790">
        <f>AB17*I260</f>
        <v>832000</v>
      </c>
      <c r="AD17" s="790"/>
      <c r="AE17" s="790"/>
      <c r="AF17" s="719">
        <f t="shared" si="6"/>
        <v>832000</v>
      </c>
      <c r="AG17" s="790">
        <v>1</v>
      </c>
      <c r="AH17" s="791" t="s">
        <v>1</v>
      </c>
      <c r="AI17" s="718">
        <v>10</v>
      </c>
      <c r="AJ17" s="790">
        <f>AI17*I260</f>
        <v>832000</v>
      </c>
      <c r="AK17" s="790"/>
      <c r="AL17" s="790"/>
      <c r="AM17" s="719">
        <f t="shared" si="7"/>
        <v>832000</v>
      </c>
    </row>
    <row r="18" spans="1:39" ht="17.25">
      <c r="A18" s="790"/>
      <c r="B18" s="797"/>
      <c r="C18" s="797"/>
      <c r="D18" s="719"/>
      <c r="E18" s="790"/>
      <c r="F18" s="718"/>
      <c r="G18" s="719"/>
      <c r="H18" s="791"/>
      <c r="I18" s="795"/>
      <c r="J18" s="790"/>
      <c r="K18" s="790"/>
      <c r="L18" s="790"/>
      <c r="M18" s="718"/>
      <c r="N18" s="790"/>
      <c r="O18" s="791"/>
      <c r="P18" s="795"/>
      <c r="Q18" s="790"/>
      <c r="R18" s="790"/>
      <c r="S18" s="790"/>
      <c r="T18" s="718"/>
      <c r="U18" s="718"/>
      <c r="V18" s="719"/>
      <c r="W18" s="790"/>
      <c r="X18" s="719"/>
      <c r="Y18" s="719"/>
      <c r="Z18" s="790"/>
      <c r="AA18" s="791"/>
      <c r="AB18" s="718"/>
      <c r="AC18" s="790"/>
      <c r="AD18" s="790"/>
      <c r="AE18" s="790"/>
      <c r="AF18" s="718"/>
      <c r="AG18" s="797"/>
      <c r="AH18" s="791"/>
      <c r="AI18" s="718"/>
      <c r="AJ18" s="790"/>
      <c r="AK18" s="790"/>
      <c r="AL18" s="790"/>
      <c r="AM18" s="718"/>
    </row>
    <row r="19" spans="1:39" s="807" customFormat="1" ht="17.25">
      <c r="A19" s="801"/>
      <c r="B19" s="802" t="s">
        <v>1142</v>
      </c>
      <c r="C19" s="802"/>
      <c r="D19" s="803" t="s">
        <v>1</v>
      </c>
      <c r="E19" s="804" t="s">
        <v>1</v>
      </c>
      <c r="F19" s="804" t="s">
        <v>1</v>
      </c>
      <c r="G19" s="803">
        <f>SUM(G11:G18)</f>
        <v>7</v>
      </c>
      <c r="H19" s="805" t="s">
        <v>1</v>
      </c>
      <c r="I19" s="806" t="s">
        <v>1</v>
      </c>
      <c r="J19" s="803">
        <f>SUM(J11:J18)</f>
        <v>6240000</v>
      </c>
      <c r="K19" s="804">
        <f aca="true" t="shared" si="8" ref="K19:Y19">SUM(K14:K16)</f>
        <v>0</v>
      </c>
      <c r="L19" s="804">
        <f t="shared" si="8"/>
        <v>0</v>
      </c>
      <c r="M19" s="803">
        <f>SUM(M11:M17)</f>
        <v>6240000</v>
      </c>
      <c r="N19" s="803">
        <f>SUM(N11:N17)</f>
        <v>7</v>
      </c>
      <c r="O19" s="805" t="s">
        <v>1</v>
      </c>
      <c r="P19" s="806" t="s">
        <v>1</v>
      </c>
      <c r="Q19" s="803">
        <f>SUM(Q11:Q18)</f>
        <v>6240000</v>
      </c>
      <c r="R19" s="804">
        <f>SUM(R14:R16)</f>
        <v>0</v>
      </c>
      <c r="S19" s="804">
        <f>SUM(S14:S16)</f>
        <v>0</v>
      </c>
      <c r="T19" s="803">
        <f>SUM(T11:T17)</f>
        <v>6240000</v>
      </c>
      <c r="U19" s="804">
        <f t="shared" si="8"/>
        <v>0</v>
      </c>
      <c r="V19" s="803">
        <f t="shared" si="8"/>
        <v>0</v>
      </c>
      <c r="W19" s="804">
        <f t="shared" si="8"/>
        <v>0</v>
      </c>
      <c r="X19" s="803">
        <f t="shared" si="8"/>
        <v>0</v>
      </c>
      <c r="Y19" s="803">
        <f t="shared" si="8"/>
        <v>0</v>
      </c>
      <c r="Z19" s="803">
        <f>SUM(Z11:Z17)</f>
        <v>7</v>
      </c>
      <c r="AA19" s="805" t="s">
        <v>1</v>
      </c>
      <c r="AB19" s="804" t="s">
        <v>1</v>
      </c>
      <c r="AC19" s="803">
        <f>SUM(AC11:AC18)</f>
        <v>6240000</v>
      </c>
      <c r="AD19" s="804">
        <f>SUM(AD14:AD16)</f>
        <v>0</v>
      </c>
      <c r="AE19" s="804">
        <f>SUM(AE14:AE16)</f>
        <v>0</v>
      </c>
      <c r="AF19" s="803">
        <f>SUM(AF11:AF17)</f>
        <v>6240000</v>
      </c>
      <c r="AG19" s="803">
        <f>SUM(AG11:AG17)</f>
        <v>7</v>
      </c>
      <c r="AH19" s="805" t="s">
        <v>1</v>
      </c>
      <c r="AI19" s="804" t="s">
        <v>1</v>
      </c>
      <c r="AJ19" s="803">
        <f>SUM(AJ11:AJ18)</f>
        <v>6240000</v>
      </c>
      <c r="AK19" s="804">
        <f>SUM(AK14:AK16)</f>
        <v>0</v>
      </c>
      <c r="AL19" s="804">
        <f>SUM(AL14:AL16)</f>
        <v>0</v>
      </c>
      <c r="AM19" s="803">
        <f>SUM(AJ19:AL19)</f>
        <v>6240000</v>
      </c>
    </row>
    <row r="20" spans="1:39" ht="17.25">
      <c r="A20" s="790"/>
      <c r="B20" s="802"/>
      <c r="C20" s="802"/>
      <c r="D20" s="719"/>
      <c r="E20" s="718"/>
      <c r="F20" s="718"/>
      <c r="G20" s="803"/>
      <c r="H20" s="791"/>
      <c r="I20" s="795"/>
      <c r="J20" s="801"/>
      <c r="K20" s="802"/>
      <c r="L20" s="801"/>
      <c r="M20" s="801"/>
      <c r="N20" s="801"/>
      <c r="O20" s="791"/>
      <c r="P20" s="795"/>
      <c r="Q20" s="801"/>
      <c r="R20" s="802"/>
      <c r="S20" s="801"/>
      <c r="T20" s="801"/>
      <c r="U20" s="802"/>
      <c r="V20" s="808"/>
      <c r="W20" s="802"/>
      <c r="X20" s="808"/>
      <c r="Y20" s="808"/>
      <c r="Z20" s="801"/>
      <c r="AA20" s="791"/>
      <c r="AB20" s="718"/>
      <c r="AC20" s="801"/>
      <c r="AD20" s="801"/>
      <c r="AE20" s="801"/>
      <c r="AF20" s="801"/>
      <c r="AG20" s="802"/>
      <c r="AH20" s="791"/>
      <c r="AI20" s="718"/>
      <c r="AJ20" s="802"/>
      <c r="AK20" s="802"/>
      <c r="AL20" s="802"/>
      <c r="AM20" s="802"/>
    </row>
    <row r="21" spans="1:39" ht="17.25">
      <c r="A21" s="790"/>
      <c r="B21" s="802"/>
      <c r="C21" s="802"/>
      <c r="D21" s="719"/>
      <c r="E21" s="718"/>
      <c r="F21" s="718"/>
      <c r="G21" s="803"/>
      <c r="H21" s="791"/>
      <c r="I21" s="795"/>
      <c r="J21" s="801"/>
      <c r="K21" s="802"/>
      <c r="L21" s="801"/>
      <c r="M21" s="801"/>
      <c r="N21" s="801"/>
      <c r="O21" s="791"/>
      <c r="P21" s="795"/>
      <c r="Q21" s="801"/>
      <c r="R21" s="802"/>
      <c r="S21" s="801"/>
      <c r="T21" s="801"/>
      <c r="U21" s="802"/>
      <c r="V21" s="808"/>
      <c r="W21" s="802"/>
      <c r="X21" s="808"/>
      <c r="Y21" s="808"/>
      <c r="Z21" s="801"/>
      <c r="AA21" s="791"/>
      <c r="AB21" s="718"/>
      <c r="AC21" s="801"/>
      <c r="AD21" s="801"/>
      <c r="AE21" s="801"/>
      <c r="AF21" s="801"/>
      <c r="AG21" s="802"/>
      <c r="AH21" s="791"/>
      <c r="AI21" s="718"/>
      <c r="AJ21" s="802"/>
      <c r="AK21" s="802"/>
      <c r="AL21" s="802"/>
      <c r="AM21" s="802"/>
    </row>
    <row r="22" spans="1:39" ht="91.5" customHeight="1">
      <c r="A22" s="792" t="s">
        <v>3</v>
      </c>
      <c r="B22" s="793" t="s">
        <v>219</v>
      </c>
      <c r="C22" s="793"/>
      <c r="D22" s="719"/>
      <c r="E22" s="718"/>
      <c r="F22" s="718"/>
      <c r="G22" s="794"/>
      <c r="H22" s="791"/>
      <c r="I22" s="795"/>
      <c r="J22" s="796"/>
      <c r="K22" s="793"/>
      <c r="L22" s="796"/>
      <c r="M22" s="796"/>
      <c r="N22" s="796"/>
      <c r="O22" s="791"/>
      <c r="P22" s="795"/>
      <c r="Q22" s="796"/>
      <c r="R22" s="793"/>
      <c r="S22" s="796"/>
      <c r="T22" s="796"/>
      <c r="U22" s="793"/>
      <c r="V22" s="809"/>
      <c r="W22" s="793"/>
      <c r="X22" s="809"/>
      <c r="Y22" s="809"/>
      <c r="Z22" s="796"/>
      <c r="AA22" s="791"/>
      <c r="AB22" s="718"/>
      <c r="AC22" s="796"/>
      <c r="AD22" s="796"/>
      <c r="AE22" s="796"/>
      <c r="AF22" s="796"/>
      <c r="AG22" s="793"/>
      <c r="AH22" s="791"/>
      <c r="AI22" s="718"/>
      <c r="AJ22" s="793"/>
      <c r="AK22" s="793"/>
      <c r="AL22" s="793"/>
      <c r="AM22" s="793"/>
    </row>
    <row r="23" spans="1:39" ht="17.25">
      <c r="A23" s="790"/>
      <c r="B23" s="797" t="s">
        <v>112</v>
      </c>
      <c r="C23" s="797"/>
      <c r="D23" s="719"/>
      <c r="E23" s="718"/>
      <c r="F23" s="718"/>
      <c r="G23" s="719"/>
      <c r="H23" s="791"/>
      <c r="I23" s="795"/>
      <c r="J23" s="790"/>
      <c r="K23" s="797"/>
      <c r="L23" s="790"/>
      <c r="M23" s="790"/>
      <c r="N23" s="790"/>
      <c r="O23" s="791"/>
      <c r="P23" s="795"/>
      <c r="Q23" s="790"/>
      <c r="R23" s="797"/>
      <c r="S23" s="790"/>
      <c r="T23" s="790"/>
      <c r="U23" s="797"/>
      <c r="V23" s="798"/>
      <c r="W23" s="797"/>
      <c r="X23" s="798"/>
      <c r="Y23" s="798"/>
      <c r="Z23" s="790"/>
      <c r="AA23" s="791"/>
      <c r="AB23" s="718"/>
      <c r="AC23" s="790"/>
      <c r="AD23" s="790"/>
      <c r="AE23" s="790"/>
      <c r="AF23" s="790"/>
      <c r="AG23" s="797"/>
      <c r="AH23" s="791"/>
      <c r="AI23" s="718"/>
      <c r="AJ23" s="797"/>
      <c r="AK23" s="797"/>
      <c r="AL23" s="797"/>
      <c r="AM23" s="797"/>
    </row>
    <row r="24" spans="1:39" ht="17.25">
      <c r="A24" s="790"/>
      <c r="B24" s="797"/>
      <c r="C24" s="790"/>
      <c r="D24" s="719"/>
      <c r="E24" s="718"/>
      <c r="F24" s="718"/>
      <c r="G24" s="719"/>
      <c r="H24" s="791"/>
      <c r="I24" s="795"/>
      <c r="J24" s="790"/>
      <c r="K24" s="797"/>
      <c r="L24" s="790"/>
      <c r="M24" s="790"/>
      <c r="N24" s="790"/>
      <c r="O24" s="791"/>
      <c r="P24" s="795"/>
      <c r="Q24" s="790"/>
      <c r="R24" s="797"/>
      <c r="S24" s="790"/>
      <c r="T24" s="790"/>
      <c r="U24" s="797"/>
      <c r="V24" s="798"/>
      <c r="W24" s="797"/>
      <c r="X24" s="798"/>
      <c r="Y24" s="798"/>
      <c r="Z24" s="790"/>
      <c r="AA24" s="791"/>
      <c r="AB24" s="718"/>
      <c r="AC24" s="790"/>
      <c r="AD24" s="790"/>
      <c r="AE24" s="790"/>
      <c r="AF24" s="790"/>
      <c r="AG24" s="797"/>
      <c r="AH24" s="791"/>
      <c r="AI24" s="718"/>
      <c r="AJ24" s="797"/>
      <c r="AK24" s="797"/>
      <c r="AL24" s="797"/>
      <c r="AM24" s="797"/>
    </row>
    <row r="25" spans="1:39" ht="35.25" customHeight="1">
      <c r="A25" s="790">
        <v>8</v>
      </c>
      <c r="B25" s="797" t="s">
        <v>696</v>
      </c>
      <c r="C25" s="790" t="s">
        <v>697</v>
      </c>
      <c r="D25" s="719">
        <v>1958</v>
      </c>
      <c r="E25" s="799" t="s">
        <v>807</v>
      </c>
      <c r="F25" s="718" t="s">
        <v>1</v>
      </c>
      <c r="G25" s="719">
        <v>1</v>
      </c>
      <c r="H25" s="791" t="s">
        <v>1</v>
      </c>
      <c r="I25" s="795">
        <v>4.75</v>
      </c>
      <c r="J25" s="790">
        <f>I25*I260</f>
        <v>395200</v>
      </c>
      <c r="K25" s="797"/>
      <c r="L25" s="790"/>
      <c r="M25" s="719">
        <f aca="true" t="shared" si="9" ref="M25:M36">J25+K25+L25</f>
        <v>395200</v>
      </c>
      <c r="N25" s="790">
        <v>1</v>
      </c>
      <c r="O25" s="791" t="s">
        <v>1</v>
      </c>
      <c r="P25" s="795">
        <v>4.75</v>
      </c>
      <c r="Q25" s="790">
        <f>P25*83200</f>
        <v>395200</v>
      </c>
      <c r="R25" s="797"/>
      <c r="S25" s="790"/>
      <c r="T25" s="719">
        <f aca="true" t="shared" si="10" ref="T25:T36">Q25+R25+S25</f>
        <v>395200</v>
      </c>
      <c r="U25" s="718">
        <f aca="true" t="shared" si="11" ref="U25:U36">+G25-N25</f>
        <v>0</v>
      </c>
      <c r="V25" s="719">
        <f aca="true" t="shared" si="12" ref="V25:X36">J25-Q25</f>
        <v>0</v>
      </c>
      <c r="W25" s="718">
        <f t="shared" si="12"/>
        <v>0</v>
      </c>
      <c r="X25" s="719">
        <f t="shared" si="12"/>
        <v>0</v>
      </c>
      <c r="Y25" s="719">
        <f aca="true" t="shared" si="13" ref="Y25:Y36">V25+W25+X25</f>
        <v>0</v>
      </c>
      <c r="Z25" s="790">
        <v>1</v>
      </c>
      <c r="AA25" s="791" t="s">
        <v>1</v>
      </c>
      <c r="AB25" s="795">
        <v>4.75</v>
      </c>
      <c r="AC25" s="790">
        <f>AB25*I260</f>
        <v>395200</v>
      </c>
      <c r="AD25" s="790"/>
      <c r="AE25" s="790"/>
      <c r="AF25" s="719">
        <f aca="true" t="shared" si="14" ref="AF25:AF36">AC25+AD25+AE25</f>
        <v>395200</v>
      </c>
      <c r="AG25" s="790">
        <v>1</v>
      </c>
      <c r="AH25" s="791" t="s">
        <v>1</v>
      </c>
      <c r="AI25" s="795">
        <v>4.75</v>
      </c>
      <c r="AJ25" s="790">
        <f>AI25*I260</f>
        <v>395200</v>
      </c>
      <c r="AK25" s="797"/>
      <c r="AL25" s="797"/>
      <c r="AM25" s="719">
        <f aca="true" t="shared" si="15" ref="AM25:AM36">AJ25+AK25+AL25</f>
        <v>395200</v>
      </c>
    </row>
    <row r="26" spans="1:39" ht="34.5">
      <c r="A26" s="790">
        <v>9</v>
      </c>
      <c r="B26" s="797" t="s">
        <v>694</v>
      </c>
      <c r="C26" s="790" t="s">
        <v>697</v>
      </c>
      <c r="D26" s="719">
        <v>1950</v>
      </c>
      <c r="E26" s="799" t="s">
        <v>807</v>
      </c>
      <c r="F26" s="718" t="s">
        <v>1</v>
      </c>
      <c r="G26" s="719">
        <v>1</v>
      </c>
      <c r="H26" s="791" t="s">
        <v>1</v>
      </c>
      <c r="I26" s="795">
        <v>4.75</v>
      </c>
      <c r="J26" s="790">
        <f>I26*I260</f>
        <v>395200</v>
      </c>
      <c r="K26" s="797"/>
      <c r="L26" s="790"/>
      <c r="M26" s="719">
        <f t="shared" si="9"/>
        <v>395200</v>
      </c>
      <c r="N26" s="790">
        <v>1</v>
      </c>
      <c r="O26" s="791" t="s">
        <v>1</v>
      </c>
      <c r="P26" s="795">
        <v>4.75</v>
      </c>
      <c r="Q26" s="790">
        <f aca="true" t="shared" si="16" ref="Q26:Q36">P26*83200</f>
        <v>395200</v>
      </c>
      <c r="R26" s="797"/>
      <c r="S26" s="790"/>
      <c r="T26" s="719">
        <f t="shared" si="10"/>
        <v>395200</v>
      </c>
      <c r="U26" s="718">
        <f t="shared" si="11"/>
        <v>0</v>
      </c>
      <c r="V26" s="719">
        <f t="shared" si="12"/>
        <v>0</v>
      </c>
      <c r="W26" s="718">
        <f t="shared" si="12"/>
        <v>0</v>
      </c>
      <c r="X26" s="719">
        <f t="shared" si="12"/>
        <v>0</v>
      </c>
      <c r="Y26" s="719">
        <f t="shared" si="13"/>
        <v>0</v>
      </c>
      <c r="Z26" s="790">
        <v>1</v>
      </c>
      <c r="AA26" s="791" t="s">
        <v>1</v>
      </c>
      <c r="AB26" s="795">
        <v>4.75</v>
      </c>
      <c r="AC26" s="790">
        <f>AB26*I260</f>
        <v>395200</v>
      </c>
      <c r="AD26" s="790"/>
      <c r="AE26" s="790"/>
      <c r="AF26" s="719">
        <f t="shared" si="14"/>
        <v>395200</v>
      </c>
      <c r="AG26" s="790">
        <v>1</v>
      </c>
      <c r="AH26" s="791" t="s">
        <v>1</v>
      </c>
      <c r="AI26" s="795">
        <v>4.75</v>
      </c>
      <c r="AJ26" s="790">
        <f>AI26*I260</f>
        <v>395200</v>
      </c>
      <c r="AK26" s="797"/>
      <c r="AL26" s="797"/>
      <c r="AM26" s="719">
        <f t="shared" si="15"/>
        <v>395200</v>
      </c>
    </row>
    <row r="27" spans="1:39" ht="34.5">
      <c r="A27" s="790">
        <v>10</v>
      </c>
      <c r="B27" s="797" t="s">
        <v>695</v>
      </c>
      <c r="C27" s="790" t="s">
        <v>697</v>
      </c>
      <c r="D27" s="719">
        <v>1977</v>
      </c>
      <c r="E27" s="799" t="s">
        <v>807</v>
      </c>
      <c r="F27" s="718" t="s">
        <v>1</v>
      </c>
      <c r="G27" s="719">
        <v>1</v>
      </c>
      <c r="H27" s="791" t="s">
        <v>1</v>
      </c>
      <c r="I27" s="795">
        <v>4.75</v>
      </c>
      <c r="J27" s="790">
        <f>I27*I260</f>
        <v>395200</v>
      </c>
      <c r="K27" s="797"/>
      <c r="L27" s="790"/>
      <c r="M27" s="719">
        <f t="shared" si="9"/>
        <v>395200</v>
      </c>
      <c r="N27" s="790">
        <v>1</v>
      </c>
      <c r="O27" s="791" t="s">
        <v>1</v>
      </c>
      <c r="P27" s="795">
        <v>4.75</v>
      </c>
      <c r="Q27" s="790">
        <f t="shared" si="16"/>
        <v>395200</v>
      </c>
      <c r="R27" s="797"/>
      <c r="S27" s="790"/>
      <c r="T27" s="719">
        <f t="shared" si="10"/>
        <v>395200</v>
      </c>
      <c r="U27" s="718">
        <f t="shared" si="11"/>
        <v>0</v>
      </c>
      <c r="V27" s="719">
        <f t="shared" si="12"/>
        <v>0</v>
      </c>
      <c r="W27" s="718">
        <f t="shared" si="12"/>
        <v>0</v>
      </c>
      <c r="X27" s="719">
        <f t="shared" si="12"/>
        <v>0</v>
      </c>
      <c r="Y27" s="719">
        <f t="shared" si="13"/>
        <v>0</v>
      </c>
      <c r="Z27" s="790">
        <v>1</v>
      </c>
      <c r="AA27" s="791" t="s">
        <v>1</v>
      </c>
      <c r="AB27" s="795">
        <v>4.75</v>
      </c>
      <c r="AC27" s="790">
        <f>AB27*I260</f>
        <v>395200</v>
      </c>
      <c r="AD27" s="790"/>
      <c r="AE27" s="790"/>
      <c r="AF27" s="719">
        <f t="shared" si="14"/>
        <v>395200</v>
      </c>
      <c r="AG27" s="790">
        <v>1</v>
      </c>
      <c r="AH27" s="791" t="s">
        <v>1</v>
      </c>
      <c r="AI27" s="795">
        <v>4.75</v>
      </c>
      <c r="AJ27" s="790">
        <f>AI27*I260</f>
        <v>395200</v>
      </c>
      <c r="AK27" s="797"/>
      <c r="AL27" s="797"/>
      <c r="AM27" s="719">
        <f t="shared" si="15"/>
        <v>395200</v>
      </c>
    </row>
    <row r="28" spans="1:39" ht="34.5">
      <c r="A28" s="790">
        <v>11</v>
      </c>
      <c r="B28" s="797"/>
      <c r="C28" s="797"/>
      <c r="D28" s="719"/>
      <c r="E28" s="799" t="s">
        <v>807</v>
      </c>
      <c r="F28" s="718" t="s">
        <v>1</v>
      </c>
      <c r="G28" s="719">
        <v>1</v>
      </c>
      <c r="H28" s="791" t="s">
        <v>1</v>
      </c>
      <c r="I28" s="795">
        <v>4.75</v>
      </c>
      <c r="J28" s="790">
        <f>I28*I260</f>
        <v>395200</v>
      </c>
      <c r="K28" s="797"/>
      <c r="L28" s="790"/>
      <c r="M28" s="719">
        <f t="shared" si="9"/>
        <v>395200</v>
      </c>
      <c r="N28" s="790">
        <v>1</v>
      </c>
      <c r="O28" s="791" t="s">
        <v>1</v>
      </c>
      <c r="P28" s="795">
        <v>4.75</v>
      </c>
      <c r="Q28" s="790">
        <f t="shared" si="16"/>
        <v>395200</v>
      </c>
      <c r="R28" s="797"/>
      <c r="S28" s="790"/>
      <c r="T28" s="719">
        <f t="shared" si="10"/>
        <v>395200</v>
      </c>
      <c r="U28" s="718">
        <f t="shared" si="11"/>
        <v>0</v>
      </c>
      <c r="V28" s="719">
        <f t="shared" si="12"/>
        <v>0</v>
      </c>
      <c r="W28" s="718">
        <f t="shared" si="12"/>
        <v>0</v>
      </c>
      <c r="X28" s="719">
        <f t="shared" si="12"/>
        <v>0</v>
      </c>
      <c r="Y28" s="719">
        <f t="shared" si="13"/>
        <v>0</v>
      </c>
      <c r="Z28" s="790">
        <v>1</v>
      </c>
      <c r="AA28" s="791" t="s">
        <v>1</v>
      </c>
      <c r="AB28" s="795">
        <v>4.75</v>
      </c>
      <c r="AC28" s="790">
        <f>AB28*I260</f>
        <v>395200</v>
      </c>
      <c r="AD28" s="790"/>
      <c r="AE28" s="790"/>
      <c r="AF28" s="719">
        <f t="shared" si="14"/>
        <v>395200</v>
      </c>
      <c r="AG28" s="790">
        <v>1</v>
      </c>
      <c r="AH28" s="791" t="s">
        <v>1</v>
      </c>
      <c r="AI28" s="795">
        <v>4.75</v>
      </c>
      <c r="AJ28" s="790">
        <f>AI28*I260</f>
        <v>395200</v>
      </c>
      <c r="AK28" s="797"/>
      <c r="AL28" s="797"/>
      <c r="AM28" s="719">
        <f t="shared" si="15"/>
        <v>395200</v>
      </c>
    </row>
    <row r="29" spans="1:39" ht="34.5">
      <c r="A29" s="790">
        <v>12</v>
      </c>
      <c r="B29" s="797" t="s">
        <v>700</v>
      </c>
      <c r="C29" s="790" t="s">
        <v>703</v>
      </c>
      <c r="D29" s="719">
        <v>1984</v>
      </c>
      <c r="E29" s="799" t="s">
        <v>808</v>
      </c>
      <c r="F29" s="718" t="s">
        <v>1</v>
      </c>
      <c r="G29" s="719">
        <v>1</v>
      </c>
      <c r="H29" s="791" t="s">
        <v>1</v>
      </c>
      <c r="I29" s="795">
        <v>4.5</v>
      </c>
      <c r="J29" s="790">
        <f>I29*I260</f>
        <v>374400</v>
      </c>
      <c r="K29" s="797"/>
      <c r="L29" s="790"/>
      <c r="M29" s="719">
        <f t="shared" si="9"/>
        <v>374400</v>
      </c>
      <c r="N29" s="790">
        <v>1</v>
      </c>
      <c r="O29" s="791" t="s">
        <v>1</v>
      </c>
      <c r="P29" s="795">
        <v>4.5</v>
      </c>
      <c r="Q29" s="790">
        <f t="shared" si="16"/>
        <v>374400</v>
      </c>
      <c r="R29" s="797"/>
      <c r="S29" s="790"/>
      <c r="T29" s="719">
        <f t="shared" si="10"/>
        <v>374400</v>
      </c>
      <c r="U29" s="718">
        <f t="shared" si="11"/>
        <v>0</v>
      </c>
      <c r="V29" s="719">
        <f t="shared" si="12"/>
        <v>0</v>
      </c>
      <c r="W29" s="718">
        <f t="shared" si="12"/>
        <v>0</v>
      </c>
      <c r="X29" s="719">
        <f t="shared" si="12"/>
        <v>0</v>
      </c>
      <c r="Y29" s="719">
        <f t="shared" si="13"/>
        <v>0</v>
      </c>
      <c r="Z29" s="790">
        <v>1</v>
      </c>
      <c r="AA29" s="791" t="s">
        <v>1</v>
      </c>
      <c r="AB29" s="718">
        <v>4.5</v>
      </c>
      <c r="AC29" s="790">
        <f>AB29*I260</f>
        <v>374400</v>
      </c>
      <c r="AD29" s="790"/>
      <c r="AE29" s="790"/>
      <c r="AF29" s="719">
        <f t="shared" si="14"/>
        <v>374400</v>
      </c>
      <c r="AG29" s="790">
        <v>1</v>
      </c>
      <c r="AH29" s="791" t="s">
        <v>1</v>
      </c>
      <c r="AI29" s="718">
        <v>4.5</v>
      </c>
      <c r="AJ29" s="790">
        <f>AI29*I260</f>
        <v>374400</v>
      </c>
      <c r="AK29" s="797"/>
      <c r="AL29" s="797"/>
      <c r="AM29" s="719">
        <f t="shared" si="15"/>
        <v>374400</v>
      </c>
    </row>
    <row r="30" spans="1:39" ht="120.75">
      <c r="A30" s="790">
        <v>13</v>
      </c>
      <c r="B30" s="515"/>
      <c r="C30" s="515"/>
      <c r="D30" s="719"/>
      <c r="E30" s="799" t="s">
        <v>809</v>
      </c>
      <c r="F30" s="718" t="s">
        <v>1</v>
      </c>
      <c r="G30" s="719">
        <v>1</v>
      </c>
      <c r="H30" s="791" t="s">
        <v>1</v>
      </c>
      <c r="I30" s="795">
        <v>4.5</v>
      </c>
      <c r="J30" s="790">
        <f>I30*I260</f>
        <v>374400</v>
      </c>
      <c r="K30" s="797"/>
      <c r="L30" s="790"/>
      <c r="M30" s="719">
        <f t="shared" si="9"/>
        <v>374400</v>
      </c>
      <c r="N30" s="790">
        <v>1</v>
      </c>
      <c r="O30" s="791" t="s">
        <v>1</v>
      </c>
      <c r="P30" s="795">
        <v>4.5</v>
      </c>
      <c r="Q30" s="790">
        <f t="shared" si="16"/>
        <v>374400</v>
      </c>
      <c r="R30" s="797"/>
      <c r="S30" s="790"/>
      <c r="T30" s="719">
        <f t="shared" si="10"/>
        <v>374400</v>
      </c>
      <c r="U30" s="718">
        <f t="shared" si="11"/>
        <v>0</v>
      </c>
      <c r="V30" s="719">
        <f t="shared" si="12"/>
        <v>0</v>
      </c>
      <c r="W30" s="718">
        <f t="shared" si="12"/>
        <v>0</v>
      </c>
      <c r="X30" s="719">
        <f t="shared" si="12"/>
        <v>0</v>
      </c>
      <c r="Y30" s="719">
        <f t="shared" si="13"/>
        <v>0</v>
      </c>
      <c r="Z30" s="790">
        <v>1</v>
      </c>
      <c r="AA30" s="791" t="s">
        <v>1</v>
      </c>
      <c r="AB30" s="718">
        <v>4.5</v>
      </c>
      <c r="AC30" s="790">
        <f>AB30*I260</f>
        <v>374400</v>
      </c>
      <c r="AD30" s="790"/>
      <c r="AE30" s="790"/>
      <c r="AF30" s="719">
        <f t="shared" si="14"/>
        <v>374400</v>
      </c>
      <c r="AG30" s="790">
        <v>1</v>
      </c>
      <c r="AH30" s="791" t="s">
        <v>1</v>
      </c>
      <c r="AI30" s="718">
        <v>4.5</v>
      </c>
      <c r="AJ30" s="790">
        <f>AI30*I260</f>
        <v>374400</v>
      </c>
      <c r="AK30" s="797"/>
      <c r="AL30" s="797"/>
      <c r="AM30" s="719">
        <f t="shared" si="15"/>
        <v>374400</v>
      </c>
    </row>
    <row r="31" spans="1:39" ht="51.75">
      <c r="A31" s="790">
        <v>14</v>
      </c>
      <c r="B31" s="797" t="s">
        <v>701</v>
      </c>
      <c r="C31" s="515" t="s">
        <v>703</v>
      </c>
      <c r="D31" s="719">
        <v>1956</v>
      </c>
      <c r="E31" s="810" t="s">
        <v>704</v>
      </c>
      <c r="F31" s="718" t="s">
        <v>1</v>
      </c>
      <c r="G31" s="719">
        <v>1</v>
      </c>
      <c r="H31" s="791" t="s">
        <v>1</v>
      </c>
      <c r="I31" s="795">
        <v>3</v>
      </c>
      <c r="J31" s="790">
        <f>I31*I260</f>
        <v>249600</v>
      </c>
      <c r="K31" s="797"/>
      <c r="L31" s="790"/>
      <c r="M31" s="719">
        <f t="shared" si="9"/>
        <v>249600</v>
      </c>
      <c r="N31" s="790">
        <v>1</v>
      </c>
      <c r="O31" s="791" t="s">
        <v>1</v>
      </c>
      <c r="P31" s="795">
        <v>3</v>
      </c>
      <c r="Q31" s="790">
        <f t="shared" si="16"/>
        <v>249600</v>
      </c>
      <c r="R31" s="797"/>
      <c r="S31" s="790"/>
      <c r="T31" s="719">
        <f t="shared" si="10"/>
        <v>249600</v>
      </c>
      <c r="U31" s="718">
        <f t="shared" si="11"/>
        <v>0</v>
      </c>
      <c r="V31" s="719">
        <f t="shared" si="12"/>
        <v>0</v>
      </c>
      <c r="W31" s="718">
        <f t="shared" si="12"/>
        <v>0</v>
      </c>
      <c r="X31" s="719">
        <f t="shared" si="12"/>
        <v>0</v>
      </c>
      <c r="Y31" s="719">
        <f t="shared" si="13"/>
        <v>0</v>
      </c>
      <c r="Z31" s="790">
        <v>1</v>
      </c>
      <c r="AA31" s="791" t="s">
        <v>1</v>
      </c>
      <c r="AB31" s="718">
        <v>3</v>
      </c>
      <c r="AC31" s="790">
        <f>AB31*I260</f>
        <v>249600</v>
      </c>
      <c r="AD31" s="790"/>
      <c r="AE31" s="790"/>
      <c r="AF31" s="719">
        <f t="shared" si="14"/>
        <v>249600</v>
      </c>
      <c r="AG31" s="790">
        <v>1</v>
      </c>
      <c r="AH31" s="791" t="s">
        <v>1</v>
      </c>
      <c r="AI31" s="718">
        <v>3</v>
      </c>
      <c r="AJ31" s="790">
        <f>AI31*I260</f>
        <v>249600</v>
      </c>
      <c r="AK31" s="797"/>
      <c r="AL31" s="797"/>
      <c r="AM31" s="719">
        <f t="shared" si="15"/>
        <v>249600</v>
      </c>
    </row>
    <row r="32" spans="1:39" ht="51.75">
      <c r="A32" s="790">
        <v>15</v>
      </c>
      <c r="B32" s="797" t="s">
        <v>702</v>
      </c>
      <c r="C32" s="515" t="s">
        <v>703</v>
      </c>
      <c r="D32" s="719">
        <v>1995</v>
      </c>
      <c r="E32" s="810" t="s">
        <v>704</v>
      </c>
      <c r="F32" s="718" t="s">
        <v>1</v>
      </c>
      <c r="G32" s="719">
        <v>1</v>
      </c>
      <c r="H32" s="791" t="s">
        <v>1</v>
      </c>
      <c r="I32" s="795">
        <v>3</v>
      </c>
      <c r="J32" s="790">
        <f>I32*I260</f>
        <v>249600</v>
      </c>
      <c r="K32" s="797"/>
      <c r="L32" s="790"/>
      <c r="M32" s="719">
        <f t="shared" si="9"/>
        <v>249600</v>
      </c>
      <c r="N32" s="790">
        <v>1</v>
      </c>
      <c r="O32" s="791" t="s">
        <v>1</v>
      </c>
      <c r="P32" s="795">
        <v>3</v>
      </c>
      <c r="Q32" s="790">
        <f t="shared" si="16"/>
        <v>249600</v>
      </c>
      <c r="R32" s="797"/>
      <c r="S32" s="790"/>
      <c r="T32" s="719">
        <f t="shared" si="10"/>
        <v>249600</v>
      </c>
      <c r="U32" s="718">
        <f t="shared" si="11"/>
        <v>0</v>
      </c>
      <c r="V32" s="719">
        <f t="shared" si="12"/>
        <v>0</v>
      </c>
      <c r="W32" s="718">
        <f t="shared" si="12"/>
        <v>0</v>
      </c>
      <c r="X32" s="719">
        <f t="shared" si="12"/>
        <v>0</v>
      </c>
      <c r="Y32" s="719">
        <f t="shared" si="13"/>
        <v>0</v>
      </c>
      <c r="Z32" s="790">
        <v>1</v>
      </c>
      <c r="AA32" s="791" t="s">
        <v>1</v>
      </c>
      <c r="AB32" s="718">
        <v>3</v>
      </c>
      <c r="AC32" s="790">
        <f>AB32*I260</f>
        <v>249600</v>
      </c>
      <c r="AD32" s="790"/>
      <c r="AE32" s="790"/>
      <c r="AF32" s="719">
        <f t="shared" si="14"/>
        <v>249600</v>
      </c>
      <c r="AG32" s="790">
        <v>1</v>
      </c>
      <c r="AH32" s="791" t="s">
        <v>1</v>
      </c>
      <c r="AI32" s="718">
        <v>3</v>
      </c>
      <c r="AJ32" s="790">
        <f>AI32*I260</f>
        <v>249600</v>
      </c>
      <c r="AK32" s="797"/>
      <c r="AL32" s="797"/>
      <c r="AM32" s="719">
        <f t="shared" si="15"/>
        <v>249600</v>
      </c>
    </row>
    <row r="33" spans="1:39" ht="51.75">
      <c r="A33" s="790">
        <v>16</v>
      </c>
      <c r="B33" s="797" t="s">
        <v>1143</v>
      </c>
      <c r="C33" s="797" t="s">
        <v>703</v>
      </c>
      <c r="D33" s="719">
        <v>1992</v>
      </c>
      <c r="E33" s="810" t="s">
        <v>704</v>
      </c>
      <c r="F33" s="718" t="s">
        <v>1</v>
      </c>
      <c r="G33" s="719">
        <v>1</v>
      </c>
      <c r="H33" s="791" t="s">
        <v>1</v>
      </c>
      <c r="I33" s="795">
        <v>3</v>
      </c>
      <c r="J33" s="790">
        <f>I33*I260</f>
        <v>249600</v>
      </c>
      <c r="K33" s="797"/>
      <c r="L33" s="790"/>
      <c r="M33" s="719">
        <f t="shared" si="9"/>
        <v>249600</v>
      </c>
      <c r="N33" s="790">
        <v>1</v>
      </c>
      <c r="O33" s="791" t="s">
        <v>1</v>
      </c>
      <c r="P33" s="795">
        <v>3</v>
      </c>
      <c r="Q33" s="790">
        <f t="shared" si="16"/>
        <v>249600</v>
      </c>
      <c r="R33" s="797"/>
      <c r="S33" s="790"/>
      <c r="T33" s="719">
        <f t="shared" si="10"/>
        <v>249600</v>
      </c>
      <c r="U33" s="718">
        <f t="shared" si="11"/>
        <v>0</v>
      </c>
      <c r="V33" s="719">
        <f t="shared" si="12"/>
        <v>0</v>
      </c>
      <c r="W33" s="718">
        <f t="shared" si="12"/>
        <v>0</v>
      </c>
      <c r="X33" s="719">
        <f t="shared" si="12"/>
        <v>0</v>
      </c>
      <c r="Y33" s="719">
        <f t="shared" si="13"/>
        <v>0</v>
      </c>
      <c r="Z33" s="790">
        <v>1</v>
      </c>
      <c r="AA33" s="791" t="s">
        <v>1</v>
      </c>
      <c r="AB33" s="718">
        <v>3</v>
      </c>
      <c r="AC33" s="790">
        <f>AB33*I260</f>
        <v>249600</v>
      </c>
      <c r="AD33" s="790"/>
      <c r="AE33" s="790"/>
      <c r="AF33" s="719">
        <f t="shared" si="14"/>
        <v>249600</v>
      </c>
      <c r="AG33" s="790">
        <v>1</v>
      </c>
      <c r="AH33" s="791" t="s">
        <v>1</v>
      </c>
      <c r="AI33" s="718">
        <v>3</v>
      </c>
      <c r="AJ33" s="790">
        <f>AI33*I260</f>
        <v>249600</v>
      </c>
      <c r="AK33" s="797"/>
      <c r="AL33" s="797"/>
      <c r="AM33" s="719">
        <f t="shared" si="15"/>
        <v>249600</v>
      </c>
    </row>
    <row r="34" spans="1:39" ht="51.75">
      <c r="A34" s="790">
        <v>17</v>
      </c>
      <c r="B34" s="797"/>
      <c r="C34" s="797"/>
      <c r="D34" s="719"/>
      <c r="E34" s="810" t="s">
        <v>704</v>
      </c>
      <c r="F34" s="718" t="s">
        <v>1</v>
      </c>
      <c r="G34" s="719">
        <v>1</v>
      </c>
      <c r="H34" s="791" t="s">
        <v>1</v>
      </c>
      <c r="I34" s="795">
        <v>3</v>
      </c>
      <c r="J34" s="790">
        <f>I34*I260</f>
        <v>249600</v>
      </c>
      <c r="K34" s="797"/>
      <c r="L34" s="790"/>
      <c r="M34" s="719">
        <f t="shared" si="9"/>
        <v>249600</v>
      </c>
      <c r="N34" s="790">
        <v>1</v>
      </c>
      <c r="O34" s="791" t="s">
        <v>1</v>
      </c>
      <c r="P34" s="795">
        <v>3</v>
      </c>
      <c r="Q34" s="790">
        <f t="shared" si="16"/>
        <v>249600</v>
      </c>
      <c r="R34" s="797"/>
      <c r="S34" s="790"/>
      <c r="T34" s="719">
        <f t="shared" si="10"/>
        <v>249600</v>
      </c>
      <c r="U34" s="718">
        <f t="shared" si="11"/>
        <v>0</v>
      </c>
      <c r="V34" s="719">
        <f t="shared" si="12"/>
        <v>0</v>
      </c>
      <c r="W34" s="718">
        <f t="shared" si="12"/>
        <v>0</v>
      </c>
      <c r="X34" s="719">
        <f t="shared" si="12"/>
        <v>0</v>
      </c>
      <c r="Y34" s="719">
        <f t="shared" si="13"/>
        <v>0</v>
      </c>
      <c r="Z34" s="790">
        <v>1</v>
      </c>
      <c r="AA34" s="791" t="s">
        <v>1</v>
      </c>
      <c r="AB34" s="718">
        <v>3</v>
      </c>
      <c r="AC34" s="790">
        <f>AB34*I260</f>
        <v>249600</v>
      </c>
      <c r="AD34" s="790"/>
      <c r="AE34" s="790"/>
      <c r="AF34" s="719">
        <f t="shared" si="14"/>
        <v>249600</v>
      </c>
      <c r="AG34" s="790">
        <v>1</v>
      </c>
      <c r="AH34" s="791" t="s">
        <v>1</v>
      </c>
      <c r="AI34" s="718">
        <v>3</v>
      </c>
      <c r="AJ34" s="790">
        <f>AI34*I260</f>
        <v>249600</v>
      </c>
      <c r="AK34" s="797"/>
      <c r="AL34" s="797"/>
      <c r="AM34" s="719">
        <f t="shared" si="15"/>
        <v>249600</v>
      </c>
    </row>
    <row r="35" spans="1:39" ht="51.75">
      <c r="A35" s="790">
        <v>18</v>
      </c>
      <c r="B35" s="797">
        <f>+B35:B36</f>
        <v>0</v>
      </c>
      <c r="C35" s="797"/>
      <c r="D35" s="719"/>
      <c r="E35" s="810" t="s">
        <v>704</v>
      </c>
      <c r="F35" s="718" t="s">
        <v>1</v>
      </c>
      <c r="G35" s="719">
        <v>1</v>
      </c>
      <c r="H35" s="791" t="s">
        <v>1</v>
      </c>
      <c r="I35" s="795">
        <v>3</v>
      </c>
      <c r="J35" s="790">
        <f>I35*I260</f>
        <v>249600</v>
      </c>
      <c r="K35" s="797"/>
      <c r="L35" s="790"/>
      <c r="M35" s="719">
        <f t="shared" si="9"/>
        <v>249600</v>
      </c>
      <c r="N35" s="790">
        <v>1</v>
      </c>
      <c r="O35" s="791" t="s">
        <v>1</v>
      </c>
      <c r="P35" s="795">
        <v>3</v>
      </c>
      <c r="Q35" s="790">
        <f t="shared" si="16"/>
        <v>249600</v>
      </c>
      <c r="R35" s="797"/>
      <c r="S35" s="790"/>
      <c r="T35" s="719">
        <f t="shared" si="10"/>
        <v>249600</v>
      </c>
      <c r="U35" s="718">
        <f t="shared" si="11"/>
        <v>0</v>
      </c>
      <c r="V35" s="719">
        <f t="shared" si="12"/>
        <v>0</v>
      </c>
      <c r="W35" s="718">
        <f t="shared" si="12"/>
        <v>0</v>
      </c>
      <c r="X35" s="719">
        <f t="shared" si="12"/>
        <v>0</v>
      </c>
      <c r="Y35" s="719">
        <f t="shared" si="13"/>
        <v>0</v>
      </c>
      <c r="Z35" s="790">
        <v>1</v>
      </c>
      <c r="AA35" s="791" t="s">
        <v>1</v>
      </c>
      <c r="AB35" s="718">
        <v>3</v>
      </c>
      <c r="AC35" s="790">
        <f>AB35*I260</f>
        <v>249600</v>
      </c>
      <c r="AD35" s="790"/>
      <c r="AE35" s="790"/>
      <c r="AF35" s="719">
        <f t="shared" si="14"/>
        <v>249600</v>
      </c>
      <c r="AG35" s="790">
        <v>1</v>
      </c>
      <c r="AH35" s="791" t="s">
        <v>1</v>
      </c>
      <c r="AI35" s="718">
        <v>3</v>
      </c>
      <c r="AJ35" s="790">
        <f>AI35*I260</f>
        <v>249600</v>
      </c>
      <c r="AK35" s="797"/>
      <c r="AL35" s="797"/>
      <c r="AM35" s="719">
        <f t="shared" si="15"/>
        <v>249600</v>
      </c>
    </row>
    <row r="36" spans="1:39" ht="51.75">
      <c r="A36" s="790">
        <v>19</v>
      </c>
      <c r="B36" s="797"/>
      <c r="C36" s="797"/>
      <c r="D36" s="719"/>
      <c r="E36" s="810" t="s">
        <v>704</v>
      </c>
      <c r="F36" s="718" t="s">
        <v>1</v>
      </c>
      <c r="G36" s="719">
        <v>1</v>
      </c>
      <c r="H36" s="791" t="s">
        <v>1</v>
      </c>
      <c r="I36" s="795">
        <v>3</v>
      </c>
      <c r="J36" s="790">
        <f>I36*I260</f>
        <v>249600</v>
      </c>
      <c r="K36" s="797"/>
      <c r="L36" s="790"/>
      <c r="M36" s="719">
        <f t="shared" si="9"/>
        <v>249600</v>
      </c>
      <c r="N36" s="790">
        <v>1</v>
      </c>
      <c r="O36" s="791" t="s">
        <v>1</v>
      </c>
      <c r="P36" s="795">
        <v>3</v>
      </c>
      <c r="Q36" s="790">
        <f t="shared" si="16"/>
        <v>249600</v>
      </c>
      <c r="R36" s="797"/>
      <c r="S36" s="790"/>
      <c r="T36" s="719">
        <f t="shared" si="10"/>
        <v>249600</v>
      </c>
      <c r="U36" s="718">
        <f t="shared" si="11"/>
        <v>0</v>
      </c>
      <c r="V36" s="719">
        <f t="shared" si="12"/>
        <v>0</v>
      </c>
      <c r="W36" s="718">
        <f t="shared" si="12"/>
        <v>0</v>
      </c>
      <c r="X36" s="719">
        <f t="shared" si="12"/>
        <v>0</v>
      </c>
      <c r="Y36" s="719">
        <f t="shared" si="13"/>
        <v>0</v>
      </c>
      <c r="Z36" s="790">
        <v>1</v>
      </c>
      <c r="AA36" s="791" t="s">
        <v>1</v>
      </c>
      <c r="AB36" s="718">
        <v>3</v>
      </c>
      <c r="AC36" s="790">
        <f>AB36*I260</f>
        <v>249600</v>
      </c>
      <c r="AD36" s="790"/>
      <c r="AE36" s="790"/>
      <c r="AF36" s="719">
        <f t="shared" si="14"/>
        <v>249600</v>
      </c>
      <c r="AG36" s="790">
        <v>1</v>
      </c>
      <c r="AH36" s="791" t="s">
        <v>1</v>
      </c>
      <c r="AI36" s="718">
        <v>3</v>
      </c>
      <c r="AJ36" s="790">
        <f>AI36*I260</f>
        <v>249600</v>
      </c>
      <c r="AK36" s="797"/>
      <c r="AL36" s="797"/>
      <c r="AM36" s="719">
        <f t="shared" si="15"/>
        <v>249600</v>
      </c>
    </row>
    <row r="37" spans="1:39" ht="17.25">
      <c r="A37" s="790"/>
      <c r="B37" s="797"/>
      <c r="C37" s="797"/>
      <c r="D37" s="719"/>
      <c r="E37" s="790"/>
      <c r="F37" s="718"/>
      <c r="G37" s="719"/>
      <c r="H37" s="791"/>
      <c r="I37" s="795"/>
      <c r="J37" s="790"/>
      <c r="K37" s="797"/>
      <c r="L37" s="790"/>
      <c r="M37" s="790"/>
      <c r="N37" s="790"/>
      <c r="O37" s="791"/>
      <c r="P37" s="795"/>
      <c r="Q37" s="790"/>
      <c r="R37" s="797"/>
      <c r="S37" s="790"/>
      <c r="T37" s="790"/>
      <c r="U37" s="797"/>
      <c r="V37" s="798"/>
      <c r="W37" s="797"/>
      <c r="X37" s="798"/>
      <c r="Y37" s="798"/>
      <c r="Z37" s="790"/>
      <c r="AA37" s="791"/>
      <c r="AB37" s="718"/>
      <c r="AC37" s="790"/>
      <c r="AD37" s="790"/>
      <c r="AE37" s="790"/>
      <c r="AF37" s="790"/>
      <c r="AG37" s="797"/>
      <c r="AH37" s="791"/>
      <c r="AI37" s="718"/>
      <c r="AJ37" s="797"/>
      <c r="AK37" s="797"/>
      <c r="AL37" s="797"/>
      <c r="AM37" s="797"/>
    </row>
    <row r="38" spans="1:39" s="807" customFormat="1" ht="17.25">
      <c r="A38" s="801"/>
      <c r="B38" s="802" t="s">
        <v>1144</v>
      </c>
      <c r="C38" s="802"/>
      <c r="D38" s="803" t="s">
        <v>1</v>
      </c>
      <c r="E38" s="804" t="s">
        <v>1</v>
      </c>
      <c r="F38" s="804" t="s">
        <v>1</v>
      </c>
      <c r="G38" s="803">
        <f>SUM(G25:G37)</f>
        <v>12</v>
      </c>
      <c r="H38" s="805" t="s">
        <v>1</v>
      </c>
      <c r="I38" s="806" t="s">
        <v>1</v>
      </c>
      <c r="J38" s="803">
        <f>SUM(J25:J37)</f>
        <v>3827200</v>
      </c>
      <c r="K38" s="803">
        <f>SUM(K30:K32)</f>
        <v>0</v>
      </c>
      <c r="L38" s="803">
        <f>SUM(L30:L32)</f>
        <v>0</v>
      </c>
      <c r="M38" s="803">
        <f>SUM(M25:M36)</f>
        <v>3827200</v>
      </c>
      <c r="N38" s="803">
        <f>SUM(N25:N37)</f>
        <v>12</v>
      </c>
      <c r="O38" s="805" t="s">
        <v>1</v>
      </c>
      <c r="P38" s="803" t="s">
        <v>1</v>
      </c>
      <c r="Q38" s="803">
        <f>SUM(Q25:Q37)</f>
        <v>3827200</v>
      </c>
      <c r="R38" s="803">
        <f>SUM(R30:R32)</f>
        <v>0</v>
      </c>
      <c r="S38" s="803">
        <f>SUM(S30:S32)</f>
        <v>0</v>
      </c>
      <c r="T38" s="803">
        <f>SUM(T25:T36)</f>
        <v>3827200</v>
      </c>
      <c r="U38" s="803">
        <f>SUM(U30:U32)</f>
        <v>0</v>
      </c>
      <c r="V38" s="803">
        <f>SUM(V30:V32)</f>
        <v>0</v>
      </c>
      <c r="W38" s="803">
        <f>SUM(W30:W32)</f>
        <v>0</v>
      </c>
      <c r="X38" s="803">
        <f>SUM(X30:X32)</f>
        <v>0</v>
      </c>
      <c r="Y38" s="803">
        <f>SUM(Y30:Y32)</f>
        <v>0</v>
      </c>
      <c r="Z38" s="803">
        <f>SUM(Z25:Z37)</f>
        <v>12</v>
      </c>
      <c r="AA38" s="805" t="s">
        <v>1</v>
      </c>
      <c r="AB38" s="803" t="s">
        <v>1</v>
      </c>
      <c r="AC38" s="803">
        <f>SUM(AC25:AC37)</f>
        <v>3827200</v>
      </c>
      <c r="AD38" s="803">
        <f>SUM(AD30:AD32)</f>
        <v>0</v>
      </c>
      <c r="AE38" s="803">
        <f>SUM(AE30:AE32)</f>
        <v>0</v>
      </c>
      <c r="AF38" s="803">
        <f>SUM(AF25:AF36)</f>
        <v>3827200</v>
      </c>
      <c r="AG38" s="803">
        <f>SUM(AG25:AG37)</f>
        <v>12</v>
      </c>
      <c r="AH38" s="805" t="s">
        <v>1</v>
      </c>
      <c r="AI38" s="803" t="s">
        <v>1</v>
      </c>
      <c r="AJ38" s="803">
        <f>SUM(AJ25:AJ37)</f>
        <v>3827200</v>
      </c>
      <c r="AK38" s="803">
        <f>SUM(AK30:AK32)</f>
        <v>0</v>
      </c>
      <c r="AL38" s="803">
        <f>SUM(AL30:AL32)</f>
        <v>0</v>
      </c>
      <c r="AM38" s="803">
        <f>SUM(AM25:AM36)</f>
        <v>3827200</v>
      </c>
    </row>
    <row r="39" spans="1:39" ht="17.25">
      <c r="A39" s="790"/>
      <c r="B39" s="793"/>
      <c r="C39" s="793"/>
      <c r="D39" s="719"/>
      <c r="E39" s="718"/>
      <c r="F39" s="718"/>
      <c r="G39" s="794"/>
      <c r="H39" s="791"/>
      <c r="I39" s="795"/>
      <c r="J39" s="796"/>
      <c r="K39" s="793"/>
      <c r="L39" s="796"/>
      <c r="M39" s="796" t="s">
        <v>705</v>
      </c>
      <c r="N39" s="796"/>
      <c r="O39" s="791"/>
      <c r="P39" s="795"/>
      <c r="Q39" s="796"/>
      <c r="R39" s="793"/>
      <c r="S39" s="796"/>
      <c r="T39" s="796"/>
      <c r="U39" s="793"/>
      <c r="V39" s="809"/>
      <c r="W39" s="793"/>
      <c r="X39" s="809"/>
      <c r="Y39" s="809"/>
      <c r="Z39" s="796"/>
      <c r="AA39" s="791"/>
      <c r="AB39" s="718"/>
      <c r="AC39" s="796"/>
      <c r="AD39" s="796"/>
      <c r="AE39" s="796"/>
      <c r="AF39" s="796"/>
      <c r="AG39" s="793"/>
      <c r="AH39" s="791"/>
      <c r="AI39" s="718"/>
      <c r="AJ39" s="793"/>
      <c r="AK39" s="793"/>
      <c r="AL39" s="793"/>
      <c r="AM39" s="793"/>
    </row>
    <row r="40" spans="1:39" ht="17.25">
      <c r="A40" s="790"/>
      <c r="B40" s="802"/>
      <c r="C40" s="802"/>
      <c r="D40" s="719"/>
      <c r="E40" s="718"/>
      <c r="F40" s="718"/>
      <c r="G40" s="719"/>
      <c r="H40" s="791"/>
      <c r="I40" s="795"/>
      <c r="J40" s="718"/>
      <c r="K40" s="718"/>
      <c r="L40" s="718"/>
      <c r="M40" s="718"/>
      <c r="N40" s="718"/>
      <c r="O40" s="791"/>
      <c r="P40" s="795"/>
      <c r="Q40" s="718"/>
      <c r="R40" s="718"/>
      <c r="S40" s="718"/>
      <c r="T40" s="718"/>
      <c r="U40" s="718"/>
      <c r="V40" s="719"/>
      <c r="W40" s="718"/>
      <c r="X40" s="719"/>
      <c r="Y40" s="719"/>
      <c r="Z40" s="718"/>
      <c r="AA40" s="791"/>
      <c r="AB40" s="718"/>
      <c r="AC40" s="718"/>
      <c r="AD40" s="718"/>
      <c r="AE40" s="718"/>
      <c r="AF40" s="718"/>
      <c r="AG40" s="718"/>
      <c r="AH40" s="791"/>
      <c r="AI40" s="718"/>
      <c r="AJ40" s="718"/>
      <c r="AK40" s="718"/>
      <c r="AL40" s="718"/>
      <c r="AM40" s="718"/>
    </row>
    <row r="41" spans="1:39" ht="51.75">
      <c r="A41" s="792" t="s">
        <v>4</v>
      </c>
      <c r="B41" s="793" t="s">
        <v>706</v>
      </c>
      <c r="C41" s="793"/>
      <c r="D41" s="719"/>
      <c r="E41" s="718"/>
      <c r="F41" s="718"/>
      <c r="G41" s="794"/>
      <c r="H41" s="791"/>
      <c r="I41" s="795"/>
      <c r="J41" s="796"/>
      <c r="K41" s="793"/>
      <c r="L41" s="796"/>
      <c r="M41" s="796"/>
      <c r="N41" s="796"/>
      <c r="O41" s="791"/>
      <c r="P41" s="795"/>
      <c r="Q41" s="796"/>
      <c r="R41" s="793"/>
      <c r="S41" s="796"/>
      <c r="T41" s="796"/>
      <c r="U41" s="793"/>
      <c r="V41" s="809"/>
      <c r="W41" s="793"/>
      <c r="X41" s="809"/>
      <c r="Y41" s="809"/>
      <c r="Z41" s="796"/>
      <c r="AA41" s="791"/>
      <c r="AB41" s="718"/>
      <c r="AC41" s="796"/>
      <c r="AD41" s="796"/>
      <c r="AE41" s="796"/>
      <c r="AF41" s="796"/>
      <c r="AG41" s="793"/>
      <c r="AH41" s="791"/>
      <c r="AI41" s="718"/>
      <c r="AJ41" s="793"/>
      <c r="AK41" s="793"/>
      <c r="AL41" s="793"/>
      <c r="AM41" s="793"/>
    </row>
    <row r="42" spans="1:39" ht="17.25">
      <c r="A42" s="790"/>
      <c r="B42" s="797" t="s">
        <v>112</v>
      </c>
      <c r="C42" s="797"/>
      <c r="D42" s="719"/>
      <c r="E42" s="718"/>
      <c r="F42" s="718"/>
      <c r="G42" s="719"/>
      <c r="H42" s="791"/>
      <c r="I42" s="795"/>
      <c r="J42" s="790"/>
      <c r="K42" s="797"/>
      <c r="L42" s="790"/>
      <c r="M42" s="790"/>
      <c r="N42" s="790"/>
      <c r="O42" s="791"/>
      <c r="P42" s="795"/>
      <c r="Q42" s="790"/>
      <c r="R42" s="797"/>
      <c r="S42" s="790"/>
      <c r="T42" s="790"/>
      <c r="U42" s="797"/>
      <c r="V42" s="798"/>
      <c r="W42" s="797"/>
      <c r="X42" s="798"/>
      <c r="Y42" s="798"/>
      <c r="Z42" s="790"/>
      <c r="AA42" s="791"/>
      <c r="AB42" s="718"/>
      <c r="AC42" s="790"/>
      <c r="AD42" s="790"/>
      <c r="AE42" s="790"/>
      <c r="AF42" s="790"/>
      <c r="AG42" s="797"/>
      <c r="AH42" s="791"/>
      <c r="AI42" s="718"/>
      <c r="AJ42" s="797"/>
      <c r="AK42" s="797"/>
      <c r="AL42" s="797"/>
      <c r="AM42" s="797"/>
    </row>
    <row r="43" spans="1:39" ht="17.25">
      <c r="A43" s="790"/>
      <c r="B43" s="797"/>
      <c r="C43" s="797"/>
      <c r="D43" s="719"/>
      <c r="E43" s="718"/>
      <c r="F43" s="718"/>
      <c r="G43" s="719"/>
      <c r="H43" s="791"/>
      <c r="I43" s="795"/>
      <c r="J43" s="790"/>
      <c r="K43" s="797"/>
      <c r="L43" s="790"/>
      <c r="M43" s="790"/>
      <c r="N43" s="790"/>
      <c r="O43" s="791"/>
      <c r="P43" s="795"/>
      <c r="Q43" s="790"/>
      <c r="R43" s="797"/>
      <c r="S43" s="790"/>
      <c r="T43" s="790"/>
      <c r="U43" s="797"/>
      <c r="V43" s="798"/>
      <c r="W43" s="797"/>
      <c r="X43" s="798"/>
      <c r="Y43" s="798"/>
      <c r="Z43" s="790"/>
      <c r="AA43" s="791"/>
      <c r="AB43" s="718"/>
      <c r="AC43" s="790"/>
      <c r="AD43" s="790"/>
      <c r="AE43" s="790"/>
      <c r="AF43" s="790"/>
      <c r="AG43" s="797"/>
      <c r="AH43" s="791"/>
      <c r="AI43" s="718"/>
      <c r="AJ43" s="797"/>
      <c r="AK43" s="797"/>
      <c r="AL43" s="797"/>
      <c r="AM43" s="797"/>
    </row>
    <row r="44" spans="1:39" ht="42.75">
      <c r="A44" s="790"/>
      <c r="B44" s="811" t="s">
        <v>706</v>
      </c>
      <c r="C44" s="797"/>
      <c r="D44" s="719"/>
      <c r="E44" s="718"/>
      <c r="F44" s="718"/>
      <c r="G44" s="719"/>
      <c r="H44" s="791"/>
      <c r="I44" s="795"/>
      <c r="J44" s="790"/>
      <c r="K44" s="797"/>
      <c r="L44" s="790"/>
      <c r="M44" s="790"/>
      <c r="N44" s="790"/>
      <c r="O44" s="791"/>
      <c r="P44" s="795"/>
      <c r="Q44" s="790"/>
      <c r="R44" s="797"/>
      <c r="S44" s="790"/>
      <c r="T44" s="790"/>
      <c r="U44" s="797"/>
      <c r="V44" s="798"/>
      <c r="W44" s="797"/>
      <c r="X44" s="798"/>
      <c r="Y44" s="798"/>
      <c r="Z44" s="790"/>
      <c r="AA44" s="791"/>
      <c r="AB44" s="718"/>
      <c r="AC44" s="790"/>
      <c r="AD44" s="790"/>
      <c r="AE44" s="790"/>
      <c r="AF44" s="790"/>
      <c r="AG44" s="797"/>
      <c r="AH44" s="791"/>
      <c r="AI44" s="718"/>
      <c r="AJ44" s="797"/>
      <c r="AK44" s="797"/>
      <c r="AL44" s="797"/>
      <c r="AM44" s="797"/>
    </row>
    <row r="45" spans="1:39" ht="17.25">
      <c r="A45" s="790"/>
      <c r="B45" s="720" t="s">
        <v>112</v>
      </c>
      <c r="C45" s="797"/>
      <c r="D45" s="719"/>
      <c r="E45" s="718"/>
      <c r="F45" s="718"/>
      <c r="G45" s="719"/>
      <c r="H45" s="791"/>
      <c r="I45" s="795"/>
      <c r="J45" s="790"/>
      <c r="K45" s="797"/>
      <c r="L45" s="790"/>
      <c r="M45" s="790"/>
      <c r="N45" s="790"/>
      <c r="O45" s="791"/>
      <c r="P45" s="795"/>
      <c r="Q45" s="790"/>
      <c r="R45" s="797"/>
      <c r="S45" s="790"/>
      <c r="T45" s="790"/>
      <c r="U45" s="797"/>
      <c r="V45" s="798"/>
      <c r="W45" s="797"/>
      <c r="X45" s="798"/>
      <c r="Y45" s="798"/>
      <c r="Z45" s="790"/>
      <c r="AA45" s="791"/>
      <c r="AB45" s="718"/>
      <c r="AC45" s="790"/>
      <c r="AD45" s="790"/>
      <c r="AE45" s="790"/>
      <c r="AF45" s="790"/>
      <c r="AG45" s="797"/>
      <c r="AH45" s="791"/>
      <c r="AI45" s="718"/>
      <c r="AJ45" s="797"/>
      <c r="AK45" s="797"/>
      <c r="AL45" s="797"/>
      <c r="AM45" s="797"/>
    </row>
    <row r="46" spans="1:39" ht="17.25">
      <c r="A46" s="790"/>
      <c r="B46" s="717" t="s">
        <v>683</v>
      </c>
      <c r="C46" s="797"/>
      <c r="D46" s="719"/>
      <c r="E46" s="718"/>
      <c r="F46" s="718"/>
      <c r="G46" s="719"/>
      <c r="H46" s="791"/>
      <c r="I46" s="795"/>
      <c r="J46" s="790"/>
      <c r="K46" s="797"/>
      <c r="L46" s="790"/>
      <c r="M46" s="790"/>
      <c r="N46" s="790"/>
      <c r="O46" s="791"/>
      <c r="P46" s="795"/>
      <c r="Q46" s="790"/>
      <c r="R46" s="797"/>
      <c r="S46" s="790"/>
      <c r="T46" s="790"/>
      <c r="U46" s="797"/>
      <c r="V46" s="798"/>
      <c r="W46" s="797"/>
      <c r="X46" s="798"/>
      <c r="Y46" s="798"/>
      <c r="Z46" s="790"/>
      <c r="AA46" s="791"/>
      <c r="AB46" s="718"/>
      <c r="AC46" s="790"/>
      <c r="AD46" s="790"/>
      <c r="AE46" s="790"/>
      <c r="AF46" s="790"/>
      <c r="AG46" s="797"/>
      <c r="AH46" s="791"/>
      <c r="AI46" s="718"/>
      <c r="AJ46" s="797"/>
      <c r="AK46" s="797"/>
      <c r="AL46" s="797"/>
      <c r="AM46" s="797"/>
    </row>
    <row r="47" spans="1:39" ht="17.25">
      <c r="A47" s="790"/>
      <c r="B47" s="717"/>
      <c r="C47" s="797"/>
      <c r="D47" s="719"/>
      <c r="E47" s="718"/>
      <c r="F47" s="718"/>
      <c r="G47" s="719"/>
      <c r="H47" s="791"/>
      <c r="I47" s="795"/>
      <c r="J47" s="790"/>
      <c r="K47" s="797"/>
      <c r="L47" s="790"/>
      <c r="M47" s="790"/>
      <c r="N47" s="790"/>
      <c r="O47" s="791"/>
      <c r="P47" s="795"/>
      <c r="Q47" s="790"/>
      <c r="R47" s="797"/>
      <c r="S47" s="790"/>
      <c r="T47" s="790"/>
      <c r="U47" s="797"/>
      <c r="V47" s="798"/>
      <c r="W47" s="797"/>
      <c r="X47" s="798"/>
      <c r="Y47" s="798"/>
      <c r="Z47" s="790"/>
      <c r="AA47" s="791"/>
      <c r="AB47" s="718"/>
      <c r="AC47" s="790"/>
      <c r="AD47" s="790"/>
      <c r="AE47" s="790"/>
      <c r="AF47" s="790"/>
      <c r="AG47" s="797"/>
      <c r="AH47" s="791"/>
      <c r="AI47" s="718"/>
      <c r="AJ47" s="797"/>
      <c r="AK47" s="797"/>
      <c r="AL47" s="797"/>
      <c r="AM47" s="797"/>
    </row>
    <row r="48" spans="1:39" ht="34.5">
      <c r="A48" s="790">
        <v>20</v>
      </c>
      <c r="B48" s="720" t="s">
        <v>707</v>
      </c>
      <c r="C48" s="790" t="s">
        <v>697</v>
      </c>
      <c r="D48" s="719">
        <v>1977</v>
      </c>
      <c r="E48" s="799" t="s">
        <v>205</v>
      </c>
      <c r="F48" s="812" t="s">
        <v>684</v>
      </c>
      <c r="G48" s="719">
        <v>1</v>
      </c>
      <c r="H48" s="791" t="s">
        <v>1145</v>
      </c>
      <c r="I48" s="795">
        <v>8.18</v>
      </c>
      <c r="J48" s="790">
        <f>I48*I260</f>
        <v>680576</v>
      </c>
      <c r="K48" s="797"/>
      <c r="L48" s="790"/>
      <c r="M48" s="790">
        <f>J48+K48+L48</f>
        <v>680576</v>
      </c>
      <c r="N48" s="790">
        <v>1</v>
      </c>
      <c r="O48" s="791" t="s">
        <v>1146</v>
      </c>
      <c r="P48" s="795">
        <v>7.92</v>
      </c>
      <c r="Q48" s="790">
        <f>P48*83200</f>
        <v>658944</v>
      </c>
      <c r="R48" s="797"/>
      <c r="S48" s="790"/>
      <c r="T48" s="790">
        <f>Q48</f>
        <v>658944</v>
      </c>
      <c r="U48" s="718">
        <f>+G48-N48</f>
        <v>0</v>
      </c>
      <c r="V48" s="719">
        <f>J48-Q48</f>
        <v>21632</v>
      </c>
      <c r="W48" s="718">
        <f>K48-R48</f>
        <v>0</v>
      </c>
      <c r="X48" s="719">
        <f>L48-S48</f>
        <v>0</v>
      </c>
      <c r="Y48" s="719">
        <f>V48+W48+X48</f>
        <v>21632</v>
      </c>
      <c r="Z48" s="790">
        <v>1</v>
      </c>
      <c r="AA48" s="791" t="s">
        <v>1147</v>
      </c>
      <c r="AB48" s="795">
        <v>8.18</v>
      </c>
      <c r="AC48" s="790">
        <f>AB48*I260</f>
        <v>680576</v>
      </c>
      <c r="AD48" s="790"/>
      <c r="AE48" s="790"/>
      <c r="AF48" s="790">
        <f>+AC48+AD48</f>
        <v>680576</v>
      </c>
      <c r="AG48" s="790">
        <v>1</v>
      </c>
      <c r="AH48" s="791" t="s">
        <v>1148</v>
      </c>
      <c r="AI48" s="795">
        <v>8.46</v>
      </c>
      <c r="AJ48" s="790">
        <f>AI48*I260</f>
        <v>703872.0000000001</v>
      </c>
      <c r="AK48" s="797"/>
      <c r="AL48" s="797"/>
      <c r="AM48" s="790">
        <f>SUM(AJ48:AL48)</f>
        <v>703872.0000000001</v>
      </c>
    </row>
    <row r="49" spans="1:39" ht="17.25">
      <c r="A49" s="790"/>
      <c r="B49" s="720"/>
      <c r="C49" s="797"/>
      <c r="D49" s="719"/>
      <c r="E49" s="718"/>
      <c r="F49" s="718"/>
      <c r="G49" s="719"/>
      <c r="H49" s="791"/>
      <c r="I49" s="795"/>
      <c r="J49" s="790"/>
      <c r="K49" s="797"/>
      <c r="L49" s="790"/>
      <c r="M49" s="790"/>
      <c r="N49" s="790"/>
      <c r="O49" s="791"/>
      <c r="P49" s="795"/>
      <c r="Q49" s="790"/>
      <c r="R49" s="797"/>
      <c r="S49" s="790"/>
      <c r="T49" s="790"/>
      <c r="U49" s="718"/>
      <c r="V49" s="719">
        <f>J49-Q49</f>
        <v>0</v>
      </c>
      <c r="W49" s="718"/>
      <c r="X49" s="719">
        <f>L49-S49</f>
        <v>0</v>
      </c>
      <c r="Y49" s="719"/>
      <c r="Z49" s="790"/>
      <c r="AA49" s="791"/>
      <c r="AB49" s="718"/>
      <c r="AC49" s="790"/>
      <c r="AD49" s="790"/>
      <c r="AE49" s="790"/>
      <c r="AF49" s="790"/>
      <c r="AG49" s="797"/>
      <c r="AH49" s="791"/>
      <c r="AI49" s="718"/>
      <c r="AJ49" s="797"/>
      <c r="AK49" s="797"/>
      <c r="AL49" s="797"/>
      <c r="AM49" s="797"/>
    </row>
    <row r="50" spans="1:39" s="740" customFormat="1" ht="17.25">
      <c r="A50" s="792"/>
      <c r="B50" s="717" t="s">
        <v>62</v>
      </c>
      <c r="C50" s="813"/>
      <c r="D50" s="814"/>
      <c r="E50" s="815"/>
      <c r="F50" s="815"/>
      <c r="G50" s="814">
        <f>G48</f>
        <v>1</v>
      </c>
      <c r="H50" s="816"/>
      <c r="I50" s="817"/>
      <c r="J50" s="792">
        <f>J48</f>
        <v>680576</v>
      </c>
      <c r="K50" s="813"/>
      <c r="L50" s="792"/>
      <c r="M50" s="792">
        <f>M48</f>
        <v>680576</v>
      </c>
      <c r="N50" s="792">
        <f>N48</f>
        <v>1</v>
      </c>
      <c r="O50" s="816" t="s">
        <v>1</v>
      </c>
      <c r="P50" s="817">
        <f>P48</f>
        <v>7.92</v>
      </c>
      <c r="Q50" s="792">
        <f>Q48</f>
        <v>658944</v>
      </c>
      <c r="R50" s="813"/>
      <c r="S50" s="792"/>
      <c r="T50" s="792">
        <f>T48</f>
        <v>658944</v>
      </c>
      <c r="U50" s="815">
        <f>+G50-N50</f>
        <v>0</v>
      </c>
      <c r="V50" s="814">
        <f>J50-Q50</f>
        <v>21632</v>
      </c>
      <c r="W50" s="815">
        <f>K50-R50</f>
        <v>0</v>
      </c>
      <c r="X50" s="814">
        <f>L50-S50</f>
        <v>0</v>
      </c>
      <c r="Y50" s="814">
        <f>V50+W50+X50</f>
        <v>21632</v>
      </c>
      <c r="Z50" s="792">
        <v>1</v>
      </c>
      <c r="AA50" s="816" t="s">
        <v>1</v>
      </c>
      <c r="AB50" s="814" t="s">
        <v>1</v>
      </c>
      <c r="AC50" s="792">
        <f>AC48</f>
        <v>680576</v>
      </c>
      <c r="AD50" s="792"/>
      <c r="AE50" s="792"/>
      <c r="AF50" s="792">
        <f>AF48</f>
        <v>680576</v>
      </c>
      <c r="AG50" s="792">
        <v>1</v>
      </c>
      <c r="AH50" s="816" t="s">
        <v>1</v>
      </c>
      <c r="AI50" s="815" t="s">
        <v>1</v>
      </c>
      <c r="AJ50" s="792">
        <f>AJ48</f>
        <v>703872.0000000001</v>
      </c>
      <c r="AK50" s="792"/>
      <c r="AL50" s="792"/>
      <c r="AM50" s="792">
        <f>AM48</f>
        <v>703872.0000000001</v>
      </c>
    </row>
    <row r="51" spans="1:39" ht="17.25">
      <c r="A51" s="790"/>
      <c r="B51" s="717"/>
      <c r="C51" s="797"/>
      <c r="D51" s="719"/>
      <c r="E51" s="718"/>
      <c r="F51" s="718"/>
      <c r="G51" s="719"/>
      <c r="H51" s="791"/>
      <c r="I51" s="795"/>
      <c r="J51" s="790"/>
      <c r="K51" s="797"/>
      <c r="L51" s="790"/>
      <c r="M51" s="790"/>
      <c r="N51" s="790"/>
      <c r="O51" s="791"/>
      <c r="P51" s="795"/>
      <c r="Q51" s="790"/>
      <c r="R51" s="797"/>
      <c r="S51" s="790"/>
      <c r="T51" s="790"/>
      <c r="U51" s="797"/>
      <c r="V51" s="798"/>
      <c r="W51" s="797"/>
      <c r="X51" s="798"/>
      <c r="Y51" s="798"/>
      <c r="Z51" s="790"/>
      <c r="AA51" s="791"/>
      <c r="AB51" s="718"/>
      <c r="AC51" s="790"/>
      <c r="AD51" s="790"/>
      <c r="AE51" s="790"/>
      <c r="AF51" s="790"/>
      <c r="AG51" s="797"/>
      <c r="AH51" s="791"/>
      <c r="AI51" s="718"/>
      <c r="AJ51" s="797"/>
      <c r="AK51" s="797"/>
      <c r="AL51" s="797"/>
      <c r="AM51" s="797"/>
    </row>
    <row r="52" spans="1:39" ht="17.25">
      <c r="A52" s="790"/>
      <c r="B52" s="717"/>
      <c r="C52" s="797"/>
      <c r="D52" s="719"/>
      <c r="E52" s="718"/>
      <c r="F52" s="718"/>
      <c r="G52" s="719"/>
      <c r="H52" s="791"/>
      <c r="I52" s="795"/>
      <c r="J52" s="790"/>
      <c r="K52" s="797"/>
      <c r="L52" s="790"/>
      <c r="M52" s="790"/>
      <c r="N52" s="790"/>
      <c r="O52" s="791"/>
      <c r="P52" s="795"/>
      <c r="Q52" s="790"/>
      <c r="R52" s="797"/>
      <c r="S52" s="790"/>
      <c r="T52" s="790"/>
      <c r="U52" s="797"/>
      <c r="V52" s="798"/>
      <c r="W52" s="797"/>
      <c r="X52" s="798"/>
      <c r="Y52" s="798"/>
      <c r="Z52" s="790"/>
      <c r="AA52" s="791"/>
      <c r="AB52" s="718"/>
      <c r="AC52" s="790"/>
      <c r="AD52" s="790"/>
      <c r="AE52" s="790"/>
      <c r="AF52" s="790"/>
      <c r="AG52" s="797"/>
      <c r="AH52" s="791"/>
      <c r="AI52" s="718"/>
      <c r="AJ52" s="797"/>
      <c r="AK52" s="797"/>
      <c r="AL52" s="797"/>
      <c r="AM52" s="797"/>
    </row>
    <row r="53" spans="1:39" ht="17.25">
      <c r="A53" s="790"/>
      <c r="B53" s="797" t="s">
        <v>130</v>
      </c>
      <c r="C53" s="797"/>
      <c r="D53" s="719"/>
      <c r="E53" s="718"/>
      <c r="F53" s="718"/>
      <c r="G53" s="719"/>
      <c r="H53" s="791"/>
      <c r="I53" s="795"/>
      <c r="J53" s="790"/>
      <c r="K53" s="797"/>
      <c r="L53" s="790"/>
      <c r="M53" s="790"/>
      <c r="N53" s="790"/>
      <c r="O53" s="791"/>
      <c r="P53" s="795"/>
      <c r="Q53" s="790"/>
      <c r="R53" s="797"/>
      <c r="S53" s="790"/>
      <c r="T53" s="790"/>
      <c r="U53" s="797"/>
      <c r="V53" s="798"/>
      <c r="W53" s="797"/>
      <c r="X53" s="798"/>
      <c r="Y53" s="798"/>
      <c r="Z53" s="790"/>
      <c r="AA53" s="791"/>
      <c r="AB53" s="718"/>
      <c r="AC53" s="790"/>
      <c r="AD53" s="790"/>
      <c r="AE53" s="790"/>
      <c r="AF53" s="790"/>
      <c r="AG53" s="797"/>
      <c r="AH53" s="791"/>
      <c r="AI53" s="718"/>
      <c r="AJ53" s="797"/>
      <c r="AK53" s="797"/>
      <c r="AL53" s="797"/>
      <c r="AM53" s="797"/>
    </row>
    <row r="54" spans="1:37" s="825" customFormat="1" ht="17.25">
      <c r="A54" s="818"/>
      <c r="B54" s="717" t="s">
        <v>131</v>
      </c>
      <c r="C54" s="792"/>
      <c r="D54" s="819"/>
      <c r="E54" s="717"/>
      <c r="F54" s="820"/>
      <c r="G54" s="819"/>
      <c r="H54" s="1135" t="s">
        <v>708</v>
      </c>
      <c r="I54" s="1136"/>
      <c r="J54" s="1136"/>
      <c r="K54" s="1136"/>
      <c r="L54" s="1136"/>
      <c r="M54" s="1136"/>
      <c r="N54" s="1137"/>
      <c r="O54" s="821"/>
      <c r="P54" s="822"/>
      <c r="Q54" s="818"/>
      <c r="R54" s="717"/>
      <c r="S54" s="818"/>
      <c r="T54" s="818"/>
      <c r="U54" s="717"/>
      <c r="V54" s="823"/>
      <c r="W54" s="823"/>
      <c r="X54" s="823"/>
      <c r="Y54" s="814"/>
      <c r="Z54" s="820"/>
      <c r="AA54" s="821"/>
      <c r="AB54" s="818"/>
      <c r="AC54" s="818"/>
      <c r="AD54" s="818"/>
      <c r="AE54" s="818"/>
      <c r="AF54" s="820"/>
      <c r="AG54" s="820"/>
      <c r="AH54" s="824"/>
      <c r="AI54" s="717"/>
      <c r="AJ54" s="717"/>
      <c r="AK54" s="717"/>
    </row>
    <row r="55" spans="1:39" ht="17.25">
      <c r="A55" s="826"/>
      <c r="B55" s="720"/>
      <c r="C55" s="790"/>
      <c r="D55" s="719"/>
      <c r="E55" s="718"/>
      <c r="F55" s="718"/>
      <c r="G55" s="719"/>
      <c r="H55" s="791"/>
      <c r="I55" s="795"/>
      <c r="J55" s="790"/>
      <c r="K55" s="797"/>
      <c r="L55" s="790"/>
      <c r="M55" s="790"/>
      <c r="N55" s="790"/>
      <c r="O55" s="791"/>
      <c r="P55" s="795"/>
      <c r="Q55" s="790"/>
      <c r="R55" s="797"/>
      <c r="S55" s="790"/>
      <c r="T55" s="790"/>
      <c r="U55" s="797"/>
      <c r="V55" s="798"/>
      <c r="W55" s="797"/>
      <c r="X55" s="798"/>
      <c r="Y55" s="798"/>
      <c r="Z55" s="790"/>
      <c r="AA55" s="791"/>
      <c r="AB55" s="718"/>
      <c r="AC55" s="790"/>
      <c r="AD55" s="790"/>
      <c r="AE55" s="790"/>
      <c r="AF55" s="790"/>
      <c r="AG55" s="790"/>
      <c r="AH55" s="791"/>
      <c r="AI55" s="718"/>
      <c r="AJ55" s="797"/>
      <c r="AK55" s="797"/>
      <c r="AL55" s="797"/>
      <c r="AM55" s="797"/>
    </row>
    <row r="56" spans="1:39" ht="34.5">
      <c r="A56" s="826">
        <v>21</v>
      </c>
      <c r="B56" s="720" t="s">
        <v>751</v>
      </c>
      <c r="C56" s="790" t="s">
        <v>697</v>
      </c>
      <c r="D56" s="719">
        <v>1980</v>
      </c>
      <c r="E56" s="799" t="s">
        <v>789</v>
      </c>
      <c r="F56" s="827" t="s">
        <v>1149</v>
      </c>
      <c r="G56" s="719">
        <v>1</v>
      </c>
      <c r="H56" s="791" t="s">
        <v>1150</v>
      </c>
      <c r="I56" s="795">
        <v>5.18</v>
      </c>
      <c r="J56" s="790">
        <f>I56*I260</f>
        <v>430976</v>
      </c>
      <c r="K56" s="797"/>
      <c r="L56" s="790"/>
      <c r="M56" s="790">
        <f aca="true" t="shared" si="17" ref="M56:M61">SUM(J56:L56)</f>
        <v>430976</v>
      </c>
      <c r="N56" s="790">
        <v>1</v>
      </c>
      <c r="O56" s="791" t="s">
        <v>1151</v>
      </c>
      <c r="P56" s="795">
        <v>5.01</v>
      </c>
      <c r="Q56" s="790">
        <f>P56*83200</f>
        <v>416832</v>
      </c>
      <c r="R56" s="797"/>
      <c r="S56" s="790"/>
      <c r="T56" s="790">
        <f aca="true" t="shared" si="18" ref="T56:T61">SUM(Q56:S56)</f>
        <v>416832</v>
      </c>
      <c r="U56" s="718">
        <f aca="true" t="shared" si="19" ref="U56:U67">+G56-N56</f>
        <v>0</v>
      </c>
      <c r="V56" s="719">
        <f aca="true" t="shared" si="20" ref="V56:Y67">J56-Q56</f>
        <v>14144</v>
      </c>
      <c r="W56" s="718">
        <f t="shared" si="20"/>
        <v>0</v>
      </c>
      <c r="X56" s="719">
        <f t="shared" si="20"/>
        <v>0</v>
      </c>
      <c r="Y56" s="719">
        <f t="shared" si="20"/>
        <v>14144</v>
      </c>
      <c r="Z56" s="790">
        <v>1</v>
      </c>
      <c r="AA56" s="791" t="s">
        <v>1152</v>
      </c>
      <c r="AB56" s="795">
        <v>5.35</v>
      </c>
      <c r="AC56" s="790">
        <f>AB56*I260</f>
        <v>445119.99999999994</v>
      </c>
      <c r="AD56" s="797"/>
      <c r="AE56" s="790"/>
      <c r="AF56" s="790">
        <f aca="true" t="shared" si="21" ref="AF56:AF67">SUM(AC56:AE56)</f>
        <v>445119.99999999994</v>
      </c>
      <c r="AG56" s="790">
        <v>1</v>
      </c>
      <c r="AH56" s="791" t="s">
        <v>1153</v>
      </c>
      <c r="AI56" s="795">
        <v>5.35</v>
      </c>
      <c r="AJ56" s="790">
        <f>AI56*I260</f>
        <v>445119.99999999994</v>
      </c>
      <c r="AK56" s="797"/>
      <c r="AL56" s="790"/>
      <c r="AM56" s="790">
        <f aca="true" t="shared" si="22" ref="AM56:AM67">SUM(AJ56:AL56)</f>
        <v>445119.99999999994</v>
      </c>
    </row>
    <row r="57" spans="1:39" ht="34.5">
      <c r="A57" s="826">
        <v>22</v>
      </c>
      <c r="B57" s="720" t="s">
        <v>782</v>
      </c>
      <c r="C57" s="790" t="s">
        <v>697</v>
      </c>
      <c r="D57" s="719">
        <v>1976</v>
      </c>
      <c r="E57" s="799" t="s">
        <v>788</v>
      </c>
      <c r="F57" s="827" t="s">
        <v>1154</v>
      </c>
      <c r="G57" s="719">
        <v>1</v>
      </c>
      <c r="H57" s="791" t="s">
        <v>1155</v>
      </c>
      <c r="I57" s="795">
        <v>4.85</v>
      </c>
      <c r="J57" s="790">
        <f>I57*I260</f>
        <v>403519.99999999994</v>
      </c>
      <c r="K57" s="797"/>
      <c r="L57" s="790"/>
      <c r="M57" s="790">
        <f t="shared" si="17"/>
        <v>403519.99999999994</v>
      </c>
      <c r="N57" s="790">
        <v>1</v>
      </c>
      <c r="O57" s="791" t="s">
        <v>1156</v>
      </c>
      <c r="P57" s="795">
        <v>4.7</v>
      </c>
      <c r="Q57" s="790">
        <f>P57*83200</f>
        <v>391040</v>
      </c>
      <c r="R57" s="797"/>
      <c r="S57" s="790"/>
      <c r="T57" s="790">
        <f t="shared" si="18"/>
        <v>391040</v>
      </c>
      <c r="U57" s="718">
        <f t="shared" si="19"/>
        <v>0</v>
      </c>
      <c r="V57" s="719">
        <f t="shared" si="20"/>
        <v>12479.999999999942</v>
      </c>
      <c r="W57" s="718">
        <f t="shared" si="20"/>
        <v>0</v>
      </c>
      <c r="X57" s="719">
        <f t="shared" si="20"/>
        <v>0</v>
      </c>
      <c r="Y57" s="719">
        <f t="shared" si="20"/>
        <v>12479.999999999942</v>
      </c>
      <c r="Z57" s="790">
        <v>1</v>
      </c>
      <c r="AA57" s="791" t="s">
        <v>1157</v>
      </c>
      <c r="AB57" s="795">
        <v>4.85</v>
      </c>
      <c r="AC57" s="790">
        <f>AB57*I260</f>
        <v>403519.99999999994</v>
      </c>
      <c r="AD57" s="797"/>
      <c r="AE57" s="790"/>
      <c r="AF57" s="790">
        <f t="shared" si="21"/>
        <v>403519.99999999994</v>
      </c>
      <c r="AG57" s="790">
        <v>1</v>
      </c>
      <c r="AH57" s="791" t="s">
        <v>1158</v>
      </c>
      <c r="AI57" s="795">
        <v>4.85</v>
      </c>
      <c r="AJ57" s="790">
        <f>AI57*I260</f>
        <v>403519.99999999994</v>
      </c>
      <c r="AK57" s="797"/>
      <c r="AL57" s="790"/>
      <c r="AM57" s="790">
        <f t="shared" si="22"/>
        <v>403519.99999999994</v>
      </c>
    </row>
    <row r="58" spans="1:39" s="837" customFormat="1" ht="17.25">
      <c r="A58" s="826">
        <v>23</v>
      </c>
      <c r="B58" s="828" t="s">
        <v>1159</v>
      </c>
      <c r="C58" s="829" t="s">
        <v>697</v>
      </c>
      <c r="D58" s="830">
        <v>1979</v>
      </c>
      <c r="E58" s="831" t="s">
        <v>790</v>
      </c>
      <c r="F58" s="827" t="s">
        <v>1160</v>
      </c>
      <c r="G58" s="830">
        <v>1</v>
      </c>
      <c r="H58" s="832" t="s">
        <v>1161</v>
      </c>
      <c r="I58" s="563">
        <v>4.13</v>
      </c>
      <c r="J58" s="561">
        <f>I58*I260</f>
        <v>343616</v>
      </c>
      <c r="K58" s="602"/>
      <c r="L58" s="561">
        <f>J58*5/100</f>
        <v>17180.8</v>
      </c>
      <c r="M58" s="833">
        <f t="shared" si="17"/>
        <v>360796.8</v>
      </c>
      <c r="N58" s="829">
        <v>1</v>
      </c>
      <c r="O58" s="834" t="s">
        <v>1162</v>
      </c>
      <c r="P58" s="835">
        <v>4.01</v>
      </c>
      <c r="Q58" s="829">
        <f>IF((P58*83200)&lt;342990,342990,P58*83200)</f>
        <v>342990</v>
      </c>
      <c r="R58" s="836"/>
      <c r="S58" s="830">
        <f>Q58*5/100</f>
        <v>17149.5</v>
      </c>
      <c r="T58" s="830">
        <f t="shared" si="18"/>
        <v>360139.5</v>
      </c>
      <c r="U58" s="567">
        <f t="shared" si="19"/>
        <v>0</v>
      </c>
      <c r="V58" s="833">
        <f>J58-Q58</f>
        <v>626</v>
      </c>
      <c r="W58" s="833">
        <f t="shared" si="20"/>
        <v>0</v>
      </c>
      <c r="X58" s="833">
        <f>L58-S58</f>
        <v>31.299999999999272</v>
      </c>
      <c r="Y58" s="833">
        <f t="shared" si="20"/>
        <v>657.2999999999884</v>
      </c>
      <c r="Z58" s="561">
        <v>1</v>
      </c>
      <c r="AA58" s="832" t="s">
        <v>1163</v>
      </c>
      <c r="AB58" s="563">
        <v>4.13</v>
      </c>
      <c r="AC58" s="561">
        <f>AB58*I260</f>
        <v>343616</v>
      </c>
      <c r="AD58" s="602"/>
      <c r="AE58" s="561">
        <f>AC58*5/100</f>
        <v>17180.8</v>
      </c>
      <c r="AF58" s="833">
        <f t="shared" si="21"/>
        <v>360796.8</v>
      </c>
      <c r="AG58" s="561">
        <v>1</v>
      </c>
      <c r="AH58" s="832" t="s">
        <v>1164</v>
      </c>
      <c r="AI58" s="563">
        <v>4.13</v>
      </c>
      <c r="AJ58" s="561">
        <f>AI58*I260</f>
        <v>343616</v>
      </c>
      <c r="AK58" s="602"/>
      <c r="AL58" s="561">
        <f>AJ58*5/100</f>
        <v>17180.8</v>
      </c>
      <c r="AM58" s="833">
        <f t="shared" si="22"/>
        <v>360796.8</v>
      </c>
    </row>
    <row r="59" spans="1:39" ht="17.25">
      <c r="A59" s="826">
        <v>24</v>
      </c>
      <c r="B59" s="720" t="s">
        <v>752</v>
      </c>
      <c r="C59" s="790" t="s">
        <v>703</v>
      </c>
      <c r="D59" s="719">
        <v>1982</v>
      </c>
      <c r="E59" s="718" t="s">
        <v>790</v>
      </c>
      <c r="F59" s="827" t="s">
        <v>1165</v>
      </c>
      <c r="G59" s="719">
        <v>1</v>
      </c>
      <c r="H59" s="791" t="s">
        <v>1166</v>
      </c>
      <c r="I59" s="795">
        <v>3.88</v>
      </c>
      <c r="J59" s="790">
        <f>I59*I260</f>
        <v>322816</v>
      </c>
      <c r="K59" s="797"/>
      <c r="L59" s="790"/>
      <c r="M59" s="790">
        <f t="shared" si="17"/>
        <v>322816</v>
      </c>
      <c r="N59" s="790">
        <v>1</v>
      </c>
      <c r="O59" s="791" t="s">
        <v>1167</v>
      </c>
      <c r="P59" s="795">
        <v>3.88</v>
      </c>
      <c r="Q59" s="790">
        <f>P59*83200</f>
        <v>322816</v>
      </c>
      <c r="R59" s="797"/>
      <c r="S59" s="790"/>
      <c r="T59" s="790">
        <f t="shared" si="18"/>
        <v>322816</v>
      </c>
      <c r="U59" s="718">
        <f t="shared" si="19"/>
        <v>0</v>
      </c>
      <c r="V59" s="719">
        <f t="shared" si="20"/>
        <v>0</v>
      </c>
      <c r="W59" s="718">
        <f t="shared" si="20"/>
        <v>0</v>
      </c>
      <c r="X59" s="719">
        <f t="shared" si="20"/>
        <v>0</v>
      </c>
      <c r="Y59" s="719">
        <f t="shared" si="20"/>
        <v>0</v>
      </c>
      <c r="Z59" s="790">
        <v>1</v>
      </c>
      <c r="AA59" s="791" t="s">
        <v>1168</v>
      </c>
      <c r="AB59" s="795">
        <v>4.01</v>
      </c>
      <c r="AC59" s="790">
        <f>AB59*I260</f>
        <v>333632</v>
      </c>
      <c r="AD59" s="797"/>
      <c r="AE59" s="790"/>
      <c r="AF59" s="790">
        <f t="shared" si="21"/>
        <v>333632</v>
      </c>
      <c r="AG59" s="790">
        <v>1</v>
      </c>
      <c r="AH59" s="791" t="s">
        <v>1169</v>
      </c>
      <c r="AI59" s="795">
        <v>4.01</v>
      </c>
      <c r="AJ59" s="790">
        <f>AI59*I260</f>
        <v>333632</v>
      </c>
      <c r="AK59" s="797"/>
      <c r="AL59" s="790"/>
      <c r="AM59" s="790">
        <f t="shared" si="22"/>
        <v>333632</v>
      </c>
    </row>
    <row r="60" spans="1:39" s="837" customFormat="1" ht="17.25">
      <c r="A60" s="826">
        <v>25</v>
      </c>
      <c r="B60" s="828" t="s">
        <v>753</v>
      </c>
      <c r="C60" s="829" t="s">
        <v>697</v>
      </c>
      <c r="D60" s="830">
        <v>1976</v>
      </c>
      <c r="E60" s="831" t="s">
        <v>790</v>
      </c>
      <c r="F60" s="827" t="s">
        <v>1170</v>
      </c>
      <c r="G60" s="830">
        <v>1</v>
      </c>
      <c r="H60" s="834" t="s">
        <v>1171</v>
      </c>
      <c r="I60" s="835">
        <v>4.27</v>
      </c>
      <c r="J60" s="829">
        <f>IF((I60*I260)&lt;372960,372960,I60*I260)</f>
        <v>372960</v>
      </c>
      <c r="K60" s="836"/>
      <c r="L60" s="829">
        <f>J60*5/100</f>
        <v>18648</v>
      </c>
      <c r="M60" s="829">
        <f t="shared" si="17"/>
        <v>391608</v>
      </c>
      <c r="N60" s="829">
        <v>1</v>
      </c>
      <c r="O60" s="834" t="s">
        <v>1171</v>
      </c>
      <c r="P60" s="835">
        <v>4.27</v>
      </c>
      <c r="Q60" s="829">
        <f>IF((P60*83200)&lt;372960,372960,P60*83200)</f>
        <v>372960</v>
      </c>
      <c r="R60" s="836"/>
      <c r="S60" s="830">
        <f>Q60*5/100</f>
        <v>18648</v>
      </c>
      <c r="T60" s="830">
        <f t="shared" si="18"/>
        <v>391608</v>
      </c>
      <c r="U60" s="831">
        <f t="shared" si="19"/>
        <v>0</v>
      </c>
      <c r="V60" s="830">
        <f t="shared" si="20"/>
        <v>0</v>
      </c>
      <c r="W60" s="831">
        <f t="shared" si="20"/>
        <v>0</v>
      </c>
      <c r="X60" s="830">
        <f t="shared" si="20"/>
        <v>0</v>
      </c>
      <c r="Y60" s="830">
        <f t="shared" si="20"/>
        <v>0</v>
      </c>
      <c r="Z60" s="829">
        <v>1</v>
      </c>
      <c r="AA60" s="834" t="s">
        <v>1172</v>
      </c>
      <c r="AB60" s="835">
        <v>4.4</v>
      </c>
      <c r="AC60" s="829">
        <f>IF((AB60*I260)&lt;372960,372960,AB60*I260)</f>
        <v>372960</v>
      </c>
      <c r="AD60" s="836"/>
      <c r="AE60" s="829">
        <f>AC60*5/100</f>
        <v>18648</v>
      </c>
      <c r="AF60" s="829">
        <f t="shared" si="21"/>
        <v>391608</v>
      </c>
      <c r="AG60" s="829">
        <v>1</v>
      </c>
      <c r="AH60" s="834" t="s">
        <v>1173</v>
      </c>
      <c r="AI60" s="835">
        <v>4.4</v>
      </c>
      <c r="AJ60" s="829">
        <f>IF((AI60*I260)&lt;372960,372960,AI60*I260)</f>
        <v>372960</v>
      </c>
      <c r="AK60" s="836"/>
      <c r="AL60" s="829">
        <f>AJ60*5/100</f>
        <v>18648</v>
      </c>
      <c r="AM60" s="829">
        <f t="shared" si="22"/>
        <v>391608</v>
      </c>
    </row>
    <row r="61" spans="1:39" ht="17.25">
      <c r="A61" s="826">
        <v>26</v>
      </c>
      <c r="B61" s="720" t="s">
        <v>754</v>
      </c>
      <c r="C61" s="790" t="s">
        <v>697</v>
      </c>
      <c r="D61" s="719">
        <v>1981</v>
      </c>
      <c r="E61" s="718" t="s">
        <v>790</v>
      </c>
      <c r="F61" s="827" t="s">
        <v>1174</v>
      </c>
      <c r="G61" s="719">
        <v>1</v>
      </c>
      <c r="H61" s="791" t="s">
        <v>1148</v>
      </c>
      <c r="I61" s="795">
        <v>3.88</v>
      </c>
      <c r="J61" s="790">
        <f>I61*I260</f>
        <v>322816</v>
      </c>
      <c r="K61" s="797"/>
      <c r="L61" s="790"/>
      <c r="M61" s="790">
        <f t="shared" si="17"/>
        <v>322816</v>
      </c>
      <c r="N61" s="790">
        <v>1</v>
      </c>
      <c r="O61" s="791" t="s">
        <v>1147</v>
      </c>
      <c r="P61" s="795">
        <v>3.88</v>
      </c>
      <c r="Q61" s="790">
        <f aca="true" t="shared" si="23" ref="Q61:Q67">P61*83200</f>
        <v>322816</v>
      </c>
      <c r="R61" s="797"/>
      <c r="S61" s="790"/>
      <c r="T61" s="790">
        <f t="shared" si="18"/>
        <v>322816</v>
      </c>
      <c r="U61" s="718">
        <f t="shared" si="19"/>
        <v>0</v>
      </c>
      <c r="V61" s="719">
        <f t="shared" si="20"/>
        <v>0</v>
      </c>
      <c r="W61" s="718">
        <f t="shared" si="20"/>
        <v>0</v>
      </c>
      <c r="X61" s="719">
        <f t="shared" si="20"/>
        <v>0</v>
      </c>
      <c r="Y61" s="719">
        <f t="shared" si="20"/>
        <v>0</v>
      </c>
      <c r="Z61" s="790">
        <v>1</v>
      </c>
      <c r="AA61" s="791" t="s">
        <v>1175</v>
      </c>
      <c r="AB61" s="795">
        <v>4.01</v>
      </c>
      <c r="AC61" s="790">
        <f>AB61*I260</f>
        <v>333632</v>
      </c>
      <c r="AD61" s="797"/>
      <c r="AE61" s="790"/>
      <c r="AF61" s="790">
        <f t="shared" si="21"/>
        <v>333632</v>
      </c>
      <c r="AG61" s="790">
        <v>1</v>
      </c>
      <c r="AH61" s="791" t="s">
        <v>1176</v>
      </c>
      <c r="AI61" s="795">
        <v>4.01</v>
      </c>
      <c r="AJ61" s="790">
        <f>AI61*I260</f>
        <v>333632</v>
      </c>
      <c r="AK61" s="797"/>
      <c r="AL61" s="790"/>
      <c r="AM61" s="790">
        <f t="shared" si="22"/>
        <v>333632</v>
      </c>
    </row>
    <row r="62" spans="1:39" s="837" customFormat="1" ht="17.25">
      <c r="A62" s="826">
        <v>27</v>
      </c>
      <c r="B62" s="828"/>
      <c r="C62" s="829"/>
      <c r="D62" s="830"/>
      <c r="E62" s="567" t="s">
        <v>790</v>
      </c>
      <c r="F62" s="827" t="s">
        <v>1177</v>
      </c>
      <c r="G62" s="838">
        <v>1</v>
      </c>
      <c r="H62" s="832">
        <v>1</v>
      </c>
      <c r="I62" s="563">
        <v>3.76</v>
      </c>
      <c r="J62" s="561">
        <f>I62*I260</f>
        <v>312832</v>
      </c>
      <c r="K62" s="602"/>
      <c r="L62" s="561"/>
      <c r="M62" s="561">
        <f>SUM(J62:L62)</f>
        <v>312832</v>
      </c>
      <c r="N62" s="561">
        <v>1</v>
      </c>
      <c r="O62" s="832">
        <v>0</v>
      </c>
      <c r="P62" s="563">
        <v>3.76</v>
      </c>
      <c r="Q62" s="561">
        <f t="shared" si="23"/>
        <v>312832</v>
      </c>
      <c r="R62" s="602"/>
      <c r="S62" s="561"/>
      <c r="T62" s="561">
        <f aca="true" t="shared" si="24" ref="T62:T67">Q62+R62+S62</f>
        <v>312832</v>
      </c>
      <c r="U62" s="567">
        <f t="shared" si="19"/>
        <v>0</v>
      </c>
      <c r="V62" s="833">
        <f t="shared" si="20"/>
        <v>0</v>
      </c>
      <c r="W62" s="567">
        <f t="shared" si="20"/>
        <v>0</v>
      </c>
      <c r="X62" s="833">
        <f t="shared" si="20"/>
        <v>0</v>
      </c>
      <c r="Y62" s="833">
        <f t="shared" si="20"/>
        <v>0</v>
      </c>
      <c r="Z62" s="561">
        <v>1</v>
      </c>
      <c r="AA62" s="832">
        <v>2</v>
      </c>
      <c r="AB62" s="563">
        <v>3.76</v>
      </c>
      <c r="AC62" s="561">
        <f>AB62*I260</f>
        <v>312832</v>
      </c>
      <c r="AD62" s="561"/>
      <c r="AE62" s="561"/>
      <c r="AF62" s="561">
        <f t="shared" si="21"/>
        <v>312832</v>
      </c>
      <c r="AG62" s="561">
        <v>1</v>
      </c>
      <c r="AH62" s="832">
        <v>3</v>
      </c>
      <c r="AI62" s="563">
        <v>3.76</v>
      </c>
      <c r="AJ62" s="561">
        <f>AI62*I260</f>
        <v>312832</v>
      </c>
      <c r="AK62" s="602"/>
      <c r="AL62" s="561"/>
      <c r="AM62" s="561">
        <f t="shared" si="22"/>
        <v>312832</v>
      </c>
    </row>
    <row r="63" spans="1:39" s="837" customFormat="1" ht="17.25">
      <c r="A63" s="826">
        <v>28</v>
      </c>
      <c r="B63" s="828"/>
      <c r="C63" s="829"/>
      <c r="D63" s="830"/>
      <c r="E63" s="567" t="s">
        <v>790</v>
      </c>
      <c r="F63" s="827" t="s">
        <v>1178</v>
      </c>
      <c r="G63" s="838">
        <v>1</v>
      </c>
      <c r="H63" s="832">
        <v>1</v>
      </c>
      <c r="I63" s="563">
        <v>3.76</v>
      </c>
      <c r="J63" s="561">
        <f>I63*I260</f>
        <v>312832</v>
      </c>
      <c r="K63" s="602"/>
      <c r="L63" s="561"/>
      <c r="M63" s="561">
        <f>SUM(J63:L63)</f>
        <v>312832</v>
      </c>
      <c r="N63" s="561">
        <v>1</v>
      </c>
      <c r="O63" s="832">
        <v>0</v>
      </c>
      <c r="P63" s="563">
        <v>3.76</v>
      </c>
      <c r="Q63" s="561">
        <f t="shared" si="23"/>
        <v>312832</v>
      </c>
      <c r="R63" s="602"/>
      <c r="S63" s="561"/>
      <c r="T63" s="561">
        <f t="shared" si="24"/>
        <v>312832</v>
      </c>
      <c r="U63" s="567">
        <f>+G63-N63</f>
        <v>0</v>
      </c>
      <c r="V63" s="833">
        <f t="shared" si="20"/>
        <v>0</v>
      </c>
      <c r="W63" s="567">
        <f t="shared" si="20"/>
        <v>0</v>
      </c>
      <c r="X63" s="833">
        <f t="shared" si="20"/>
        <v>0</v>
      </c>
      <c r="Y63" s="833">
        <f t="shared" si="20"/>
        <v>0</v>
      </c>
      <c r="Z63" s="561">
        <v>1</v>
      </c>
      <c r="AA63" s="832">
        <v>2</v>
      </c>
      <c r="AB63" s="563">
        <v>3.76</v>
      </c>
      <c r="AC63" s="561">
        <f>AB63*I260</f>
        <v>312832</v>
      </c>
      <c r="AD63" s="561"/>
      <c r="AE63" s="561"/>
      <c r="AF63" s="561">
        <f t="shared" si="21"/>
        <v>312832</v>
      </c>
      <c r="AG63" s="561">
        <v>1</v>
      </c>
      <c r="AH63" s="832">
        <v>3</v>
      </c>
      <c r="AI63" s="563">
        <v>3.76</v>
      </c>
      <c r="AJ63" s="561">
        <f>AI63*I260</f>
        <v>312832</v>
      </c>
      <c r="AK63" s="602"/>
      <c r="AL63" s="561"/>
      <c r="AM63" s="561">
        <f t="shared" si="22"/>
        <v>312832</v>
      </c>
    </row>
    <row r="64" spans="1:39" s="740" customFormat="1" ht="17.25">
      <c r="A64" s="826">
        <v>29</v>
      </c>
      <c r="B64" s="717"/>
      <c r="C64" s="792"/>
      <c r="D64" s="814"/>
      <c r="E64" s="718" t="s">
        <v>790</v>
      </c>
      <c r="F64" s="827" t="s">
        <v>1179</v>
      </c>
      <c r="G64" s="719">
        <v>1</v>
      </c>
      <c r="H64" s="791">
        <v>1</v>
      </c>
      <c r="I64" s="795">
        <v>3.76</v>
      </c>
      <c r="J64" s="790">
        <f>I64*I260</f>
        <v>312832</v>
      </c>
      <c r="K64" s="797"/>
      <c r="L64" s="790"/>
      <c r="M64" s="790">
        <f>J64+K64+L64</f>
        <v>312832</v>
      </c>
      <c r="N64" s="790">
        <v>1</v>
      </c>
      <c r="O64" s="791">
        <v>0</v>
      </c>
      <c r="P64" s="795">
        <v>3.76</v>
      </c>
      <c r="Q64" s="790">
        <f t="shared" si="23"/>
        <v>312832</v>
      </c>
      <c r="R64" s="797"/>
      <c r="S64" s="790"/>
      <c r="T64" s="790">
        <f t="shared" si="24"/>
        <v>312832</v>
      </c>
      <c r="U64" s="718">
        <f>+G64-N64</f>
        <v>0</v>
      </c>
      <c r="V64" s="719">
        <f t="shared" si="20"/>
        <v>0</v>
      </c>
      <c r="W64" s="718">
        <f t="shared" si="20"/>
        <v>0</v>
      </c>
      <c r="X64" s="719">
        <f t="shared" si="20"/>
        <v>0</v>
      </c>
      <c r="Y64" s="719">
        <f t="shared" si="20"/>
        <v>0</v>
      </c>
      <c r="Z64" s="790">
        <v>1</v>
      </c>
      <c r="AA64" s="791">
        <v>2</v>
      </c>
      <c r="AB64" s="795">
        <v>3.76</v>
      </c>
      <c r="AC64" s="790">
        <f>AB64*I260</f>
        <v>312832</v>
      </c>
      <c r="AD64" s="790"/>
      <c r="AE64" s="790"/>
      <c r="AF64" s="790">
        <f t="shared" si="21"/>
        <v>312832</v>
      </c>
      <c r="AG64" s="719">
        <v>1</v>
      </c>
      <c r="AH64" s="791">
        <v>2</v>
      </c>
      <c r="AI64" s="795">
        <v>3.76</v>
      </c>
      <c r="AJ64" s="790">
        <f>AI64*I260</f>
        <v>312832</v>
      </c>
      <c r="AK64" s="790"/>
      <c r="AL64" s="790"/>
      <c r="AM64" s="790">
        <f t="shared" si="22"/>
        <v>312832</v>
      </c>
    </row>
    <row r="65" spans="1:39" s="740" customFormat="1" ht="17.25">
      <c r="A65" s="826">
        <v>30</v>
      </c>
      <c r="B65" s="717"/>
      <c r="C65" s="792"/>
      <c r="D65" s="814"/>
      <c r="E65" s="718" t="s">
        <v>790</v>
      </c>
      <c r="F65" s="827" t="s">
        <v>1180</v>
      </c>
      <c r="G65" s="719">
        <v>1</v>
      </c>
      <c r="H65" s="791">
        <v>1</v>
      </c>
      <c r="I65" s="795">
        <v>3.76</v>
      </c>
      <c r="J65" s="790">
        <f>I65*I260</f>
        <v>312832</v>
      </c>
      <c r="K65" s="797"/>
      <c r="L65" s="790"/>
      <c r="M65" s="790">
        <f>J65+K65+L65</f>
        <v>312832</v>
      </c>
      <c r="N65" s="790">
        <v>1</v>
      </c>
      <c r="O65" s="791">
        <v>0</v>
      </c>
      <c r="P65" s="795">
        <v>3.76</v>
      </c>
      <c r="Q65" s="790">
        <f t="shared" si="23"/>
        <v>312832</v>
      </c>
      <c r="R65" s="797"/>
      <c r="S65" s="790"/>
      <c r="T65" s="790">
        <f t="shared" si="24"/>
        <v>312832</v>
      </c>
      <c r="U65" s="718">
        <f>+G65-N65</f>
        <v>0</v>
      </c>
      <c r="V65" s="719">
        <f t="shared" si="20"/>
        <v>0</v>
      </c>
      <c r="W65" s="718">
        <f t="shared" si="20"/>
        <v>0</v>
      </c>
      <c r="X65" s="719">
        <f t="shared" si="20"/>
        <v>0</v>
      </c>
      <c r="Y65" s="719">
        <f t="shared" si="20"/>
        <v>0</v>
      </c>
      <c r="Z65" s="790">
        <v>1</v>
      </c>
      <c r="AA65" s="791">
        <v>2</v>
      </c>
      <c r="AB65" s="795">
        <v>3.76</v>
      </c>
      <c r="AC65" s="790">
        <f>AB65*I260</f>
        <v>312832</v>
      </c>
      <c r="AD65" s="790"/>
      <c r="AE65" s="790"/>
      <c r="AF65" s="790">
        <f t="shared" si="21"/>
        <v>312832</v>
      </c>
      <c r="AG65" s="719">
        <v>1</v>
      </c>
      <c r="AH65" s="791">
        <v>2</v>
      </c>
      <c r="AI65" s="795">
        <v>3.76</v>
      </c>
      <c r="AJ65" s="790">
        <f>AI65*I260</f>
        <v>312832</v>
      </c>
      <c r="AK65" s="790"/>
      <c r="AL65" s="790"/>
      <c r="AM65" s="790">
        <f t="shared" si="22"/>
        <v>312832</v>
      </c>
    </row>
    <row r="66" spans="1:39" s="837" customFormat="1" ht="17.25">
      <c r="A66" s="826">
        <v>31</v>
      </c>
      <c r="B66" s="828"/>
      <c r="C66" s="829"/>
      <c r="D66" s="830"/>
      <c r="E66" s="567" t="s">
        <v>790</v>
      </c>
      <c r="F66" s="827" t="s">
        <v>1181</v>
      </c>
      <c r="G66" s="838">
        <v>1</v>
      </c>
      <c r="H66" s="832">
        <v>1</v>
      </c>
      <c r="I66" s="563">
        <v>3.76</v>
      </c>
      <c r="J66" s="561">
        <f>I66*I260</f>
        <v>312832</v>
      </c>
      <c r="K66" s="602"/>
      <c r="L66" s="561"/>
      <c r="M66" s="561">
        <f>SUM(J66:L66)</f>
        <v>312832</v>
      </c>
      <c r="N66" s="561">
        <v>1</v>
      </c>
      <c r="O66" s="832">
        <v>0</v>
      </c>
      <c r="P66" s="563">
        <v>3.76</v>
      </c>
      <c r="Q66" s="561">
        <f t="shared" si="23"/>
        <v>312832</v>
      </c>
      <c r="R66" s="602"/>
      <c r="S66" s="561"/>
      <c r="T66" s="561">
        <f t="shared" si="24"/>
        <v>312832</v>
      </c>
      <c r="U66" s="567">
        <f>+G66-N66</f>
        <v>0</v>
      </c>
      <c r="V66" s="833">
        <f t="shared" si="20"/>
        <v>0</v>
      </c>
      <c r="W66" s="567">
        <f t="shared" si="20"/>
        <v>0</v>
      </c>
      <c r="X66" s="833">
        <f t="shared" si="20"/>
        <v>0</v>
      </c>
      <c r="Y66" s="833">
        <f t="shared" si="20"/>
        <v>0</v>
      </c>
      <c r="Z66" s="561">
        <v>1</v>
      </c>
      <c r="AA66" s="832">
        <v>2</v>
      </c>
      <c r="AB66" s="563">
        <v>3.76</v>
      </c>
      <c r="AC66" s="561">
        <f>AB66*I260</f>
        <v>312832</v>
      </c>
      <c r="AD66" s="561"/>
      <c r="AE66" s="561"/>
      <c r="AF66" s="561">
        <f t="shared" si="21"/>
        <v>312832</v>
      </c>
      <c r="AG66" s="561">
        <v>1</v>
      </c>
      <c r="AH66" s="832">
        <v>3</v>
      </c>
      <c r="AI66" s="563">
        <v>3.76</v>
      </c>
      <c r="AJ66" s="561">
        <f>AI66*I260</f>
        <v>312832</v>
      </c>
      <c r="AK66" s="602"/>
      <c r="AL66" s="561"/>
      <c r="AM66" s="561">
        <f t="shared" si="22"/>
        <v>312832</v>
      </c>
    </row>
    <row r="67" spans="1:39" s="837" customFormat="1" ht="17.25">
      <c r="A67" s="826">
        <v>32</v>
      </c>
      <c r="B67" s="828"/>
      <c r="C67" s="829"/>
      <c r="D67" s="830"/>
      <c r="E67" s="567" t="s">
        <v>790</v>
      </c>
      <c r="F67" s="827" t="s">
        <v>1182</v>
      </c>
      <c r="G67" s="838">
        <v>1</v>
      </c>
      <c r="H67" s="832">
        <v>1</v>
      </c>
      <c r="I67" s="563">
        <v>3.76</v>
      </c>
      <c r="J67" s="561">
        <f>I67*I260</f>
        <v>312832</v>
      </c>
      <c r="K67" s="602"/>
      <c r="L67" s="561"/>
      <c r="M67" s="561">
        <f>SUM(J67:L67)</f>
        <v>312832</v>
      </c>
      <c r="N67" s="561">
        <v>1</v>
      </c>
      <c r="O67" s="832">
        <v>0</v>
      </c>
      <c r="P67" s="563">
        <v>3.76</v>
      </c>
      <c r="Q67" s="561">
        <f t="shared" si="23"/>
        <v>312832</v>
      </c>
      <c r="R67" s="602"/>
      <c r="S67" s="561"/>
      <c r="T67" s="561">
        <f t="shared" si="24"/>
        <v>312832</v>
      </c>
      <c r="U67" s="567">
        <f t="shared" si="19"/>
        <v>0</v>
      </c>
      <c r="V67" s="833">
        <f t="shared" si="20"/>
        <v>0</v>
      </c>
      <c r="W67" s="567">
        <f t="shared" si="20"/>
        <v>0</v>
      </c>
      <c r="X67" s="833">
        <f t="shared" si="20"/>
        <v>0</v>
      </c>
      <c r="Y67" s="833">
        <f t="shared" si="20"/>
        <v>0</v>
      </c>
      <c r="Z67" s="561">
        <v>1</v>
      </c>
      <c r="AA67" s="832">
        <v>2</v>
      </c>
      <c r="AB67" s="563">
        <v>3.76</v>
      </c>
      <c r="AC67" s="561">
        <f>AB67*I260</f>
        <v>312832</v>
      </c>
      <c r="AD67" s="561"/>
      <c r="AE67" s="561"/>
      <c r="AF67" s="561">
        <f t="shared" si="21"/>
        <v>312832</v>
      </c>
      <c r="AG67" s="561">
        <v>1</v>
      </c>
      <c r="AH67" s="832">
        <v>3</v>
      </c>
      <c r="AI67" s="563">
        <v>3.76</v>
      </c>
      <c r="AJ67" s="561">
        <f>AI67*I260</f>
        <v>312832</v>
      </c>
      <c r="AK67" s="602"/>
      <c r="AL67" s="561"/>
      <c r="AM67" s="561">
        <f t="shared" si="22"/>
        <v>312832</v>
      </c>
    </row>
    <row r="68" spans="1:39" s="740" customFormat="1" ht="28.5">
      <c r="A68" s="818"/>
      <c r="B68" s="811" t="s">
        <v>132</v>
      </c>
      <c r="C68" s="792"/>
      <c r="D68" s="814"/>
      <c r="E68" s="815"/>
      <c r="F68" s="815"/>
      <c r="G68" s="814">
        <f>SUM(G56:G67)</f>
        <v>12</v>
      </c>
      <c r="H68" s="816" t="s">
        <v>1</v>
      </c>
      <c r="I68" s="814" t="s">
        <v>1</v>
      </c>
      <c r="J68" s="814">
        <f>SUM(J56:J67)</f>
        <v>4073696</v>
      </c>
      <c r="K68" s="814">
        <f>SUM(K56:K61)</f>
        <v>0</v>
      </c>
      <c r="L68" s="814">
        <f>SUM(L56:L67)</f>
        <v>35828.8</v>
      </c>
      <c r="M68" s="814">
        <f>SUM(M56:M67)</f>
        <v>4109524.8</v>
      </c>
      <c r="N68" s="814">
        <f>SUM(N56:N67)</f>
        <v>12</v>
      </c>
      <c r="O68" s="816" t="s">
        <v>1</v>
      </c>
      <c r="P68" s="792" t="s">
        <v>1</v>
      </c>
      <c r="Q68" s="814">
        <f>SUM(Q56:Q67)</f>
        <v>4046446</v>
      </c>
      <c r="R68" s="792">
        <f>SUM(R56:R61)</f>
        <v>0</v>
      </c>
      <c r="S68" s="814">
        <f>SUM(S56:S67)</f>
        <v>35797.5</v>
      </c>
      <c r="T68" s="814">
        <f>SUM(T56:T67)</f>
        <v>4082243.5</v>
      </c>
      <c r="U68" s="792">
        <f>SUM(U56:U61)</f>
        <v>0</v>
      </c>
      <c r="V68" s="814">
        <f>SUM(V56:V67)</f>
        <v>27249.99999999994</v>
      </c>
      <c r="W68" s="792">
        <f>SUM(W56:W61)</f>
        <v>0</v>
      </c>
      <c r="X68" s="814">
        <f>SUM(X56:X67)</f>
        <v>31.299999999999272</v>
      </c>
      <c r="Y68" s="814">
        <f>SUM(Y56:Y67)</f>
        <v>27281.29999999993</v>
      </c>
      <c r="Z68" s="814">
        <f>SUM(Z56:Z67)</f>
        <v>12</v>
      </c>
      <c r="AA68" s="816" t="s">
        <v>1</v>
      </c>
      <c r="AB68" s="792" t="s">
        <v>1</v>
      </c>
      <c r="AC68" s="814">
        <f>SUM(AC56:AC67)</f>
        <v>4109472</v>
      </c>
      <c r="AD68" s="792">
        <f>SUM(AD56:AD61)</f>
        <v>0</v>
      </c>
      <c r="AE68" s="814">
        <f>SUM(AE56:AE67)</f>
        <v>35828.8</v>
      </c>
      <c r="AF68" s="814">
        <f>SUM(AF56:AF67)</f>
        <v>4145300.8</v>
      </c>
      <c r="AG68" s="814">
        <f>SUM(AG56:AG67)</f>
        <v>12</v>
      </c>
      <c r="AH68" s="816" t="s">
        <v>1</v>
      </c>
      <c r="AI68" s="792" t="s">
        <v>1</v>
      </c>
      <c r="AJ68" s="814">
        <f>SUM(AJ56:AJ67)</f>
        <v>4109472</v>
      </c>
      <c r="AK68" s="792">
        <f>SUM(AK56:AK61)</f>
        <v>0</v>
      </c>
      <c r="AL68" s="814">
        <f>SUM(AL56:AL67)</f>
        <v>35828.8</v>
      </c>
      <c r="AM68" s="814">
        <f>SUM(AM56:AM67)</f>
        <v>4145300.8</v>
      </c>
    </row>
    <row r="69" spans="1:39" s="740" customFormat="1" ht="17.25">
      <c r="A69" s="818"/>
      <c r="B69" s="717"/>
      <c r="C69" s="792"/>
      <c r="D69" s="814"/>
      <c r="E69" s="815"/>
      <c r="F69" s="815"/>
      <c r="G69" s="814"/>
      <c r="H69" s="839"/>
      <c r="I69" s="776"/>
      <c r="J69" s="776"/>
      <c r="K69" s="776"/>
      <c r="L69" s="776"/>
      <c r="M69" s="776"/>
      <c r="N69" s="780"/>
      <c r="O69" s="816"/>
      <c r="P69" s="792"/>
      <c r="Q69" s="792"/>
      <c r="R69" s="792"/>
      <c r="S69" s="814"/>
      <c r="T69" s="814"/>
      <c r="U69" s="792"/>
      <c r="V69" s="814"/>
      <c r="W69" s="792"/>
      <c r="X69" s="814"/>
      <c r="Y69" s="814"/>
      <c r="Z69" s="792"/>
      <c r="AA69" s="816"/>
      <c r="AB69" s="792"/>
      <c r="AC69" s="792"/>
      <c r="AD69" s="792"/>
      <c r="AE69" s="792"/>
      <c r="AF69" s="814"/>
      <c r="AG69" s="792"/>
      <c r="AH69" s="816"/>
      <c r="AI69" s="792"/>
      <c r="AJ69" s="792"/>
      <c r="AK69" s="792"/>
      <c r="AL69" s="130"/>
      <c r="AM69" s="840"/>
    </row>
    <row r="70" spans="1:37" s="825" customFormat="1" ht="17.25">
      <c r="A70" s="818"/>
      <c r="B70" s="717" t="s">
        <v>131</v>
      </c>
      <c r="C70" s="820"/>
      <c r="D70" s="819"/>
      <c r="E70" s="717"/>
      <c r="F70" s="820"/>
      <c r="G70" s="819"/>
      <c r="H70" s="1135" t="s">
        <v>713</v>
      </c>
      <c r="I70" s="1136"/>
      <c r="J70" s="1136"/>
      <c r="K70" s="1136"/>
      <c r="L70" s="1136"/>
      <c r="M70" s="1136"/>
      <c r="N70" s="1137"/>
      <c r="O70" s="821"/>
      <c r="P70" s="822"/>
      <c r="Q70" s="818"/>
      <c r="R70" s="717"/>
      <c r="S70" s="818"/>
      <c r="T70" s="819"/>
      <c r="U70" s="717"/>
      <c r="V70" s="823"/>
      <c r="W70" s="717"/>
      <c r="X70" s="823"/>
      <c r="Y70" s="819"/>
      <c r="Z70" s="820"/>
      <c r="AA70" s="821"/>
      <c r="AB70" s="818"/>
      <c r="AC70" s="818"/>
      <c r="AD70" s="818"/>
      <c r="AE70" s="818"/>
      <c r="AF70" s="820"/>
      <c r="AG70" s="820"/>
      <c r="AH70" s="824"/>
      <c r="AI70" s="717"/>
      <c r="AJ70" s="717"/>
      <c r="AK70" s="717"/>
    </row>
    <row r="71" spans="1:37" s="750" customFormat="1" ht="17.25">
      <c r="A71" s="826"/>
      <c r="B71" s="717"/>
      <c r="C71" s="841"/>
      <c r="D71" s="842"/>
      <c r="E71" s="799"/>
      <c r="F71" s="718"/>
      <c r="G71" s="842"/>
      <c r="H71" s="843"/>
      <c r="I71" s="844"/>
      <c r="J71" s="845"/>
      <c r="K71" s="845"/>
      <c r="L71" s="845"/>
      <c r="M71" s="845"/>
      <c r="N71" s="846"/>
      <c r="O71" s="847"/>
      <c r="P71" s="848"/>
      <c r="Q71" s="826"/>
      <c r="R71" s="720"/>
      <c r="S71" s="826"/>
      <c r="T71" s="842"/>
      <c r="U71" s="720"/>
      <c r="V71" s="849"/>
      <c r="W71" s="720"/>
      <c r="X71" s="849"/>
      <c r="Y71" s="842"/>
      <c r="Z71" s="841"/>
      <c r="AA71" s="847"/>
      <c r="AB71" s="826"/>
      <c r="AC71" s="826"/>
      <c r="AD71" s="826"/>
      <c r="AE71" s="826"/>
      <c r="AF71" s="841"/>
      <c r="AG71" s="841"/>
      <c r="AH71" s="850"/>
      <c r="AI71" s="720"/>
      <c r="AJ71" s="720"/>
      <c r="AK71" s="720"/>
    </row>
    <row r="72" spans="1:39" ht="34.5">
      <c r="A72" s="826">
        <v>33</v>
      </c>
      <c r="B72" s="720"/>
      <c r="C72" s="790"/>
      <c r="D72" s="719"/>
      <c r="E72" s="799" t="s">
        <v>789</v>
      </c>
      <c r="F72" s="827" t="s">
        <v>1183</v>
      </c>
      <c r="G72" s="842">
        <v>1</v>
      </c>
      <c r="H72" s="791">
        <v>1</v>
      </c>
      <c r="I72" s="795">
        <v>5.52</v>
      </c>
      <c r="J72" s="790">
        <f>I72*I260</f>
        <v>459263.99999999994</v>
      </c>
      <c r="K72" s="797"/>
      <c r="L72" s="790"/>
      <c r="M72" s="790">
        <f aca="true" t="shared" si="25" ref="M72:M83">SUM(J72:L72)</f>
        <v>459263.99999999994</v>
      </c>
      <c r="N72" s="790">
        <v>1</v>
      </c>
      <c r="O72" s="791">
        <v>0</v>
      </c>
      <c r="P72" s="795">
        <v>5.52</v>
      </c>
      <c r="Q72" s="790">
        <f>P72*83200</f>
        <v>459263.99999999994</v>
      </c>
      <c r="R72" s="797"/>
      <c r="S72" s="790"/>
      <c r="T72" s="790">
        <f aca="true" t="shared" si="26" ref="T72:T83">Q72+R72+S72</f>
        <v>459263.99999999994</v>
      </c>
      <c r="U72" s="718">
        <f aca="true" t="shared" si="27" ref="U72:U83">+G72-N72</f>
        <v>0</v>
      </c>
      <c r="V72" s="719">
        <f aca="true" t="shared" si="28" ref="V72:Y82">J72-Q72</f>
        <v>0</v>
      </c>
      <c r="W72" s="718">
        <f t="shared" si="28"/>
        <v>0</v>
      </c>
      <c r="X72" s="719">
        <f t="shared" si="28"/>
        <v>0</v>
      </c>
      <c r="Y72" s="719">
        <f t="shared" si="28"/>
        <v>0</v>
      </c>
      <c r="Z72" s="790">
        <v>1</v>
      </c>
      <c r="AA72" s="791">
        <v>2</v>
      </c>
      <c r="AB72" s="795">
        <v>5.52</v>
      </c>
      <c r="AC72" s="790">
        <f>AB72*I260</f>
        <v>459263.99999999994</v>
      </c>
      <c r="AD72" s="790"/>
      <c r="AE72" s="790"/>
      <c r="AF72" s="790">
        <f>SUM(AC72:AE72)</f>
        <v>459263.99999999994</v>
      </c>
      <c r="AG72" s="790">
        <v>1</v>
      </c>
      <c r="AH72" s="791">
        <v>3</v>
      </c>
      <c r="AI72" s="795">
        <v>5.52</v>
      </c>
      <c r="AJ72" s="790">
        <f>AI72*I260</f>
        <v>459263.99999999994</v>
      </c>
      <c r="AK72" s="797"/>
      <c r="AL72" s="797"/>
      <c r="AM72" s="790">
        <f>SUM(AJ72:AL72)</f>
        <v>459263.99999999994</v>
      </c>
    </row>
    <row r="73" spans="1:39" ht="34.5">
      <c r="A73" s="826">
        <v>34</v>
      </c>
      <c r="B73" s="720" t="s">
        <v>718</v>
      </c>
      <c r="C73" s="790" t="s">
        <v>697</v>
      </c>
      <c r="D73" s="719">
        <v>1970</v>
      </c>
      <c r="E73" s="799" t="s">
        <v>788</v>
      </c>
      <c r="F73" s="827" t="s">
        <v>1184</v>
      </c>
      <c r="G73" s="842">
        <v>1</v>
      </c>
      <c r="H73" s="791" t="s">
        <v>1185</v>
      </c>
      <c r="I73" s="795">
        <v>4.85</v>
      </c>
      <c r="J73" s="790">
        <f>I73*I260</f>
        <v>403519.99999999994</v>
      </c>
      <c r="K73" s="797"/>
      <c r="L73" s="790"/>
      <c r="M73" s="790">
        <f t="shared" si="25"/>
        <v>403519.99999999994</v>
      </c>
      <c r="N73" s="790">
        <v>1</v>
      </c>
      <c r="O73" s="791" t="s">
        <v>1186</v>
      </c>
      <c r="P73" s="795">
        <v>4.7</v>
      </c>
      <c r="Q73" s="790">
        <f>P73*83200</f>
        <v>391040</v>
      </c>
      <c r="R73" s="797"/>
      <c r="S73" s="790"/>
      <c r="T73" s="790">
        <f t="shared" si="26"/>
        <v>391040</v>
      </c>
      <c r="U73" s="718">
        <f t="shared" si="27"/>
        <v>0</v>
      </c>
      <c r="V73" s="719">
        <f t="shared" si="28"/>
        <v>12479.999999999942</v>
      </c>
      <c r="W73" s="718">
        <f t="shared" si="28"/>
        <v>0</v>
      </c>
      <c r="X73" s="719">
        <f t="shared" si="28"/>
        <v>0</v>
      </c>
      <c r="Y73" s="719">
        <f t="shared" si="28"/>
        <v>12479.999999999942</v>
      </c>
      <c r="Z73" s="790">
        <v>1</v>
      </c>
      <c r="AA73" s="791" t="s">
        <v>1187</v>
      </c>
      <c r="AB73" s="795">
        <v>4.85</v>
      </c>
      <c r="AC73" s="790">
        <f>AB73*I260</f>
        <v>403519.99999999994</v>
      </c>
      <c r="AD73" s="790"/>
      <c r="AE73" s="790"/>
      <c r="AF73" s="790">
        <f>SUM(AC73:AE73)</f>
        <v>403519.99999999994</v>
      </c>
      <c r="AG73" s="790">
        <v>1</v>
      </c>
      <c r="AH73" s="791" t="s">
        <v>1188</v>
      </c>
      <c r="AI73" s="795">
        <v>4.85</v>
      </c>
      <c r="AJ73" s="790">
        <f>AI73*I260</f>
        <v>403519.99999999994</v>
      </c>
      <c r="AK73" s="797"/>
      <c r="AL73" s="797"/>
      <c r="AM73" s="790">
        <f>SUM(AJ73:AL73)</f>
        <v>403519.99999999994</v>
      </c>
    </row>
    <row r="74" spans="1:39" s="837" customFormat="1" ht="17.25">
      <c r="A74" s="826">
        <v>35</v>
      </c>
      <c r="B74" s="828" t="s">
        <v>719</v>
      </c>
      <c r="C74" s="829" t="s">
        <v>697</v>
      </c>
      <c r="D74" s="830">
        <v>1964</v>
      </c>
      <c r="E74" s="831" t="s">
        <v>790</v>
      </c>
      <c r="F74" s="827" t="s">
        <v>1189</v>
      </c>
      <c r="G74" s="851">
        <v>1</v>
      </c>
      <c r="H74" s="834" t="s">
        <v>1190</v>
      </c>
      <c r="I74" s="835">
        <v>4.4</v>
      </c>
      <c r="J74" s="829">
        <f>IF((I74*I260)&lt;395160,395160,I74*I260)</f>
        <v>395160</v>
      </c>
      <c r="K74" s="836"/>
      <c r="L74" s="829">
        <f>J74*5/100</f>
        <v>19758</v>
      </c>
      <c r="M74" s="829">
        <f t="shared" si="25"/>
        <v>414918</v>
      </c>
      <c r="N74" s="829">
        <v>1</v>
      </c>
      <c r="O74" s="834" t="s">
        <v>1191</v>
      </c>
      <c r="P74" s="835">
        <v>4.4</v>
      </c>
      <c r="Q74" s="829">
        <f>IF((P74*83200)&lt;395160,395160,P74*83200)</f>
        <v>395160</v>
      </c>
      <c r="R74" s="836"/>
      <c r="S74" s="829">
        <f>Q74*5/100</f>
        <v>19758</v>
      </c>
      <c r="T74" s="829">
        <f t="shared" si="26"/>
        <v>414918</v>
      </c>
      <c r="U74" s="831">
        <f t="shared" si="27"/>
        <v>0</v>
      </c>
      <c r="V74" s="830">
        <f t="shared" si="28"/>
        <v>0</v>
      </c>
      <c r="W74" s="831">
        <f t="shared" si="28"/>
        <v>0</v>
      </c>
      <c r="X74" s="830">
        <f t="shared" si="28"/>
        <v>0</v>
      </c>
      <c r="Y74" s="830">
        <f t="shared" si="28"/>
        <v>0</v>
      </c>
      <c r="Z74" s="829">
        <v>1</v>
      </c>
      <c r="AA74" s="834" t="s">
        <v>1192</v>
      </c>
      <c r="AB74" s="835">
        <v>4.4</v>
      </c>
      <c r="AC74" s="829">
        <f>IF((AB74*I260)&lt;395160,395160,AB74*I260)</f>
        <v>395160</v>
      </c>
      <c r="AD74" s="829"/>
      <c r="AE74" s="829">
        <f>AC74*5/100</f>
        <v>19758</v>
      </c>
      <c r="AF74" s="829">
        <f>SUM(AC74:AE74)</f>
        <v>414918</v>
      </c>
      <c r="AG74" s="829">
        <v>1</v>
      </c>
      <c r="AH74" s="834" t="s">
        <v>1193</v>
      </c>
      <c r="AI74" s="835">
        <v>4.4</v>
      </c>
      <c r="AJ74" s="829">
        <f>IF((AI74*I260)&lt;395160,395160,AI74*I260)</f>
        <v>395160</v>
      </c>
      <c r="AK74" s="836"/>
      <c r="AL74" s="829">
        <f>AJ74*5/100</f>
        <v>19758</v>
      </c>
      <c r="AM74" s="829">
        <f>SUM(AJ74:AL74)</f>
        <v>414918</v>
      </c>
    </row>
    <row r="75" spans="1:39" ht="17.25">
      <c r="A75" s="826">
        <v>36</v>
      </c>
      <c r="B75" s="720" t="s">
        <v>720</v>
      </c>
      <c r="C75" s="790" t="s">
        <v>697</v>
      </c>
      <c r="D75" s="719">
        <v>1991</v>
      </c>
      <c r="E75" s="718" t="s">
        <v>790</v>
      </c>
      <c r="F75" s="827" t="s">
        <v>1194</v>
      </c>
      <c r="G75" s="842">
        <v>1</v>
      </c>
      <c r="H75" s="791" t="s">
        <v>1195</v>
      </c>
      <c r="I75" s="795">
        <v>3.53</v>
      </c>
      <c r="J75" s="790">
        <f>I75*I260</f>
        <v>293696</v>
      </c>
      <c r="K75" s="797"/>
      <c r="L75" s="790"/>
      <c r="M75" s="790">
        <f t="shared" si="25"/>
        <v>293696</v>
      </c>
      <c r="N75" s="790">
        <v>1</v>
      </c>
      <c r="O75" s="791" t="s">
        <v>1196</v>
      </c>
      <c r="P75" s="795">
        <v>3.42</v>
      </c>
      <c r="Q75" s="790">
        <f>P75*83200</f>
        <v>284544</v>
      </c>
      <c r="R75" s="797"/>
      <c r="S75" s="790"/>
      <c r="T75" s="790">
        <f t="shared" si="26"/>
        <v>284544</v>
      </c>
      <c r="U75" s="718">
        <f t="shared" si="27"/>
        <v>0</v>
      </c>
      <c r="V75" s="719">
        <f t="shared" si="28"/>
        <v>9152</v>
      </c>
      <c r="W75" s="718">
        <f t="shared" si="28"/>
        <v>0</v>
      </c>
      <c r="X75" s="719">
        <f t="shared" si="28"/>
        <v>0</v>
      </c>
      <c r="Y75" s="719">
        <f t="shared" si="28"/>
        <v>9152</v>
      </c>
      <c r="Z75" s="790">
        <v>1</v>
      </c>
      <c r="AA75" s="791" t="s">
        <v>1197</v>
      </c>
      <c r="AB75" s="795">
        <v>3.64</v>
      </c>
      <c r="AC75" s="790">
        <f>AB75*I260</f>
        <v>302848</v>
      </c>
      <c r="AD75" s="790"/>
      <c r="AE75" s="790"/>
      <c r="AF75" s="790">
        <f>SUM(AC75:AE75)</f>
        <v>302848</v>
      </c>
      <c r="AG75" s="790">
        <v>1</v>
      </c>
      <c r="AH75" s="791" t="s">
        <v>1198</v>
      </c>
      <c r="AI75" s="795">
        <v>3.64</v>
      </c>
      <c r="AJ75" s="790">
        <f>AI75*I260</f>
        <v>302848</v>
      </c>
      <c r="AK75" s="797"/>
      <c r="AL75" s="797"/>
      <c r="AM75" s="790">
        <f>SUM(AJ75:AL75)</f>
        <v>302848</v>
      </c>
    </row>
    <row r="76" spans="1:39" s="837" customFormat="1" ht="17.25">
      <c r="A76" s="826">
        <v>37</v>
      </c>
      <c r="B76" s="828" t="s">
        <v>721</v>
      </c>
      <c r="C76" s="829" t="s">
        <v>697</v>
      </c>
      <c r="D76" s="830">
        <v>1967</v>
      </c>
      <c r="E76" s="831" t="s">
        <v>790</v>
      </c>
      <c r="F76" s="827" t="s">
        <v>1199</v>
      </c>
      <c r="G76" s="851">
        <v>1</v>
      </c>
      <c r="H76" s="834" t="s">
        <v>1200</v>
      </c>
      <c r="I76" s="835">
        <v>4.13</v>
      </c>
      <c r="J76" s="829">
        <f>IF((I76*I260)&lt;362970,362970,I76*I260)</f>
        <v>362970</v>
      </c>
      <c r="K76" s="836"/>
      <c r="L76" s="829">
        <f>J76*5/100</f>
        <v>18148.5</v>
      </c>
      <c r="M76" s="829">
        <f t="shared" si="25"/>
        <v>381118.5</v>
      </c>
      <c r="N76" s="829">
        <v>1</v>
      </c>
      <c r="O76" s="834" t="s">
        <v>1201</v>
      </c>
      <c r="P76" s="835">
        <v>4.13</v>
      </c>
      <c r="Q76" s="829">
        <f>IF((P76*83200)&lt;362970,362970,P76*83200)</f>
        <v>362970</v>
      </c>
      <c r="R76" s="836"/>
      <c r="S76" s="830">
        <f>Q76*5/100</f>
        <v>18148.5</v>
      </c>
      <c r="T76" s="830">
        <f t="shared" si="26"/>
        <v>381118.5</v>
      </c>
      <c r="U76" s="831">
        <f t="shared" si="27"/>
        <v>0</v>
      </c>
      <c r="V76" s="830">
        <f t="shared" si="28"/>
        <v>0</v>
      </c>
      <c r="W76" s="831">
        <f t="shared" si="28"/>
        <v>0</v>
      </c>
      <c r="X76" s="830">
        <f t="shared" si="28"/>
        <v>0</v>
      </c>
      <c r="Y76" s="830">
        <f t="shared" si="28"/>
        <v>0</v>
      </c>
      <c r="Z76" s="829">
        <v>1</v>
      </c>
      <c r="AA76" s="834" t="s">
        <v>1171</v>
      </c>
      <c r="AB76" s="835">
        <v>4.27</v>
      </c>
      <c r="AC76" s="829">
        <f>IF((AB76*I260)&lt;362970,362970,AB76*I260)</f>
        <v>362970</v>
      </c>
      <c r="AD76" s="836"/>
      <c r="AE76" s="830">
        <f>AC76*5/100</f>
        <v>18148.5</v>
      </c>
      <c r="AF76" s="830">
        <f>AC76+AD76+AE76</f>
        <v>381118.5</v>
      </c>
      <c r="AG76" s="829">
        <v>1</v>
      </c>
      <c r="AH76" s="834" t="s">
        <v>1172</v>
      </c>
      <c r="AI76" s="835">
        <v>4.27</v>
      </c>
      <c r="AJ76" s="829">
        <f>IF((AI76*I260)&lt;362970,362970,AI76*I260)</f>
        <v>362970</v>
      </c>
      <c r="AK76" s="836"/>
      <c r="AL76" s="830">
        <f>AJ76*5/100</f>
        <v>18148.5</v>
      </c>
      <c r="AM76" s="830">
        <f>AJ76+AK76+AL76</f>
        <v>381118.5</v>
      </c>
    </row>
    <row r="77" spans="1:39" ht="17.25">
      <c r="A77" s="826">
        <v>38</v>
      </c>
      <c r="B77" s="720" t="s">
        <v>1202</v>
      </c>
      <c r="C77" s="790" t="s">
        <v>703</v>
      </c>
      <c r="D77" s="719">
        <v>1986</v>
      </c>
      <c r="E77" s="718" t="s">
        <v>790</v>
      </c>
      <c r="F77" s="827" t="s">
        <v>1203</v>
      </c>
      <c r="G77" s="842">
        <v>1</v>
      </c>
      <c r="H77" s="791" t="s">
        <v>1153</v>
      </c>
      <c r="I77" s="795">
        <v>3.64</v>
      </c>
      <c r="J77" s="790">
        <f>I77*I260</f>
        <v>302848</v>
      </c>
      <c r="K77" s="797"/>
      <c r="L77" s="790"/>
      <c r="M77" s="790">
        <f t="shared" si="25"/>
        <v>302848</v>
      </c>
      <c r="N77" s="790">
        <v>1</v>
      </c>
      <c r="O77" s="791" t="s">
        <v>1152</v>
      </c>
      <c r="P77" s="795">
        <v>3.64</v>
      </c>
      <c r="Q77" s="790">
        <f aca="true" t="shared" si="29" ref="Q77:Q83">P77*83200</f>
        <v>302848</v>
      </c>
      <c r="R77" s="797"/>
      <c r="S77" s="790"/>
      <c r="T77" s="790">
        <f t="shared" si="26"/>
        <v>302848</v>
      </c>
      <c r="U77" s="718">
        <f t="shared" si="27"/>
        <v>0</v>
      </c>
      <c r="V77" s="719">
        <f t="shared" si="28"/>
        <v>0</v>
      </c>
      <c r="W77" s="718">
        <f t="shared" si="28"/>
        <v>0</v>
      </c>
      <c r="X77" s="719">
        <f t="shared" si="28"/>
        <v>0</v>
      </c>
      <c r="Y77" s="719">
        <f t="shared" si="28"/>
        <v>0</v>
      </c>
      <c r="Z77" s="790">
        <v>1</v>
      </c>
      <c r="AA77" s="791" t="s">
        <v>1204</v>
      </c>
      <c r="AB77" s="795">
        <v>3.76</v>
      </c>
      <c r="AC77" s="790">
        <f>AB77*I260</f>
        <v>312832</v>
      </c>
      <c r="AD77" s="797"/>
      <c r="AE77" s="790"/>
      <c r="AF77" s="790">
        <f>AC77+AD77+AE77</f>
        <v>312832</v>
      </c>
      <c r="AG77" s="790">
        <v>1</v>
      </c>
      <c r="AH77" s="791" t="s">
        <v>1205</v>
      </c>
      <c r="AI77" s="795">
        <v>3.76</v>
      </c>
      <c r="AJ77" s="790">
        <f>AI77*I260</f>
        <v>312832</v>
      </c>
      <c r="AK77" s="797"/>
      <c r="AL77" s="790"/>
      <c r="AM77" s="790">
        <f>AJ77+AK77+AL77</f>
        <v>312832</v>
      </c>
    </row>
    <row r="78" spans="1:39" ht="17.25">
      <c r="A78" s="826">
        <v>39</v>
      </c>
      <c r="B78" s="720" t="s">
        <v>722</v>
      </c>
      <c r="C78" s="790" t="s">
        <v>697</v>
      </c>
      <c r="D78" s="719">
        <v>1978</v>
      </c>
      <c r="E78" s="718" t="s">
        <v>790</v>
      </c>
      <c r="F78" s="827" t="s">
        <v>1206</v>
      </c>
      <c r="G78" s="842">
        <v>1</v>
      </c>
      <c r="H78" s="791" t="s">
        <v>1207</v>
      </c>
      <c r="I78" s="795">
        <v>4.4</v>
      </c>
      <c r="J78" s="790">
        <f>I78*I260</f>
        <v>366080.00000000006</v>
      </c>
      <c r="K78" s="797"/>
      <c r="L78" s="790">
        <f>J78*5/100</f>
        <v>18304.000000000004</v>
      </c>
      <c r="M78" s="790">
        <f t="shared" si="25"/>
        <v>384384.00000000006</v>
      </c>
      <c r="N78" s="790">
        <v>1</v>
      </c>
      <c r="O78" s="791" t="s">
        <v>1208</v>
      </c>
      <c r="P78" s="795">
        <v>4.4</v>
      </c>
      <c r="Q78" s="790">
        <f t="shared" si="29"/>
        <v>366080.00000000006</v>
      </c>
      <c r="R78" s="797"/>
      <c r="S78" s="790">
        <f>Q78*5/100</f>
        <v>18304.000000000004</v>
      </c>
      <c r="T78" s="790">
        <f t="shared" si="26"/>
        <v>384384.00000000006</v>
      </c>
      <c r="U78" s="718">
        <f t="shared" si="27"/>
        <v>0</v>
      </c>
      <c r="V78" s="719">
        <f t="shared" si="28"/>
        <v>0</v>
      </c>
      <c r="W78" s="718">
        <f t="shared" si="28"/>
        <v>0</v>
      </c>
      <c r="X78" s="719">
        <f t="shared" si="28"/>
        <v>0</v>
      </c>
      <c r="Y78" s="719">
        <f t="shared" si="28"/>
        <v>0</v>
      </c>
      <c r="Z78" s="790">
        <v>1</v>
      </c>
      <c r="AA78" s="791" t="s">
        <v>1209</v>
      </c>
      <c r="AB78" s="795">
        <v>4.4</v>
      </c>
      <c r="AC78" s="790">
        <f>AB78*I260</f>
        <v>366080.00000000006</v>
      </c>
      <c r="AD78" s="797"/>
      <c r="AE78" s="790">
        <f>AC78*5/100</f>
        <v>18304.000000000004</v>
      </c>
      <c r="AF78" s="790">
        <f>AC78+AD78+AE78</f>
        <v>384384.00000000006</v>
      </c>
      <c r="AG78" s="790">
        <v>1</v>
      </c>
      <c r="AH78" s="791" t="s">
        <v>1210</v>
      </c>
      <c r="AI78" s="795">
        <v>4.4</v>
      </c>
      <c r="AJ78" s="790">
        <f>AI78*I260</f>
        <v>366080.00000000006</v>
      </c>
      <c r="AK78" s="797"/>
      <c r="AL78" s="790">
        <f>AJ78*5/100</f>
        <v>18304.000000000004</v>
      </c>
      <c r="AM78" s="790">
        <f>AJ78+AK78+AL78</f>
        <v>384384.00000000006</v>
      </c>
    </row>
    <row r="79" spans="1:39" s="837" customFormat="1" ht="17.25">
      <c r="A79" s="826">
        <v>40</v>
      </c>
      <c r="B79" s="828"/>
      <c r="C79" s="829"/>
      <c r="D79" s="830"/>
      <c r="E79" s="567" t="s">
        <v>790</v>
      </c>
      <c r="F79" s="827" t="s">
        <v>1211</v>
      </c>
      <c r="G79" s="838">
        <v>1</v>
      </c>
      <c r="H79" s="832">
        <v>1</v>
      </c>
      <c r="I79" s="563">
        <v>3.76</v>
      </c>
      <c r="J79" s="561">
        <f>I79*I260</f>
        <v>312832</v>
      </c>
      <c r="K79" s="602"/>
      <c r="L79" s="561"/>
      <c r="M79" s="561">
        <f t="shared" si="25"/>
        <v>312832</v>
      </c>
      <c r="N79" s="561">
        <v>1</v>
      </c>
      <c r="O79" s="832">
        <v>0</v>
      </c>
      <c r="P79" s="563">
        <v>3.76</v>
      </c>
      <c r="Q79" s="561">
        <f t="shared" si="29"/>
        <v>312832</v>
      </c>
      <c r="R79" s="602"/>
      <c r="S79" s="561"/>
      <c r="T79" s="561">
        <f t="shared" si="26"/>
        <v>312832</v>
      </c>
      <c r="U79" s="567">
        <f t="shared" si="27"/>
        <v>0</v>
      </c>
      <c r="V79" s="833">
        <f t="shared" si="28"/>
        <v>0</v>
      </c>
      <c r="W79" s="567">
        <f t="shared" si="28"/>
        <v>0</v>
      </c>
      <c r="X79" s="833">
        <f t="shared" si="28"/>
        <v>0</v>
      </c>
      <c r="Y79" s="833">
        <f t="shared" si="28"/>
        <v>0</v>
      </c>
      <c r="Z79" s="561">
        <v>1</v>
      </c>
      <c r="AA79" s="832">
        <v>2</v>
      </c>
      <c r="AB79" s="563">
        <v>3.76</v>
      </c>
      <c r="AC79" s="561">
        <f>AB79*I260</f>
        <v>312832</v>
      </c>
      <c r="AD79" s="561"/>
      <c r="AE79" s="561"/>
      <c r="AF79" s="561">
        <f>SUM(AC79:AE79)</f>
        <v>312832</v>
      </c>
      <c r="AG79" s="561">
        <v>1</v>
      </c>
      <c r="AH79" s="832">
        <v>3</v>
      </c>
      <c r="AI79" s="563">
        <v>3.76</v>
      </c>
      <c r="AJ79" s="561">
        <f>AI79*I260</f>
        <v>312832</v>
      </c>
      <c r="AK79" s="602"/>
      <c r="AL79" s="561"/>
      <c r="AM79" s="561">
        <f>SUM(AJ79:AL79)</f>
        <v>312832</v>
      </c>
    </row>
    <row r="80" spans="1:39" s="837" customFormat="1" ht="17.25">
      <c r="A80" s="826">
        <v>41</v>
      </c>
      <c r="B80" s="828"/>
      <c r="C80" s="829"/>
      <c r="D80" s="830"/>
      <c r="E80" s="567" t="s">
        <v>790</v>
      </c>
      <c r="F80" s="827" t="s">
        <v>1212</v>
      </c>
      <c r="G80" s="838">
        <v>1</v>
      </c>
      <c r="H80" s="832">
        <v>1</v>
      </c>
      <c r="I80" s="563">
        <v>3.76</v>
      </c>
      <c r="J80" s="561">
        <f>I80*I260</f>
        <v>312832</v>
      </c>
      <c r="K80" s="602"/>
      <c r="L80" s="561"/>
      <c r="M80" s="561">
        <f t="shared" si="25"/>
        <v>312832</v>
      </c>
      <c r="N80" s="561">
        <v>1</v>
      </c>
      <c r="O80" s="832">
        <v>0</v>
      </c>
      <c r="P80" s="563">
        <v>3.76</v>
      </c>
      <c r="Q80" s="561">
        <f t="shared" si="29"/>
        <v>312832</v>
      </c>
      <c r="R80" s="602"/>
      <c r="S80" s="561"/>
      <c r="T80" s="561">
        <f t="shared" si="26"/>
        <v>312832</v>
      </c>
      <c r="U80" s="567">
        <f t="shared" si="27"/>
        <v>0</v>
      </c>
      <c r="V80" s="833">
        <f t="shared" si="28"/>
        <v>0</v>
      </c>
      <c r="W80" s="567">
        <f t="shared" si="28"/>
        <v>0</v>
      </c>
      <c r="X80" s="833">
        <f t="shared" si="28"/>
        <v>0</v>
      </c>
      <c r="Y80" s="833">
        <f t="shared" si="28"/>
        <v>0</v>
      </c>
      <c r="Z80" s="561">
        <v>1</v>
      </c>
      <c r="AA80" s="832">
        <v>2</v>
      </c>
      <c r="AB80" s="563">
        <v>3.76</v>
      </c>
      <c r="AC80" s="561">
        <f>AB80*I260</f>
        <v>312832</v>
      </c>
      <c r="AD80" s="561"/>
      <c r="AE80" s="561"/>
      <c r="AF80" s="561">
        <f>SUM(AC80:AE80)</f>
        <v>312832</v>
      </c>
      <c r="AG80" s="561">
        <v>1</v>
      </c>
      <c r="AH80" s="832">
        <v>3</v>
      </c>
      <c r="AI80" s="563">
        <v>3.76</v>
      </c>
      <c r="AJ80" s="561">
        <f>AI80*I260</f>
        <v>312832</v>
      </c>
      <c r="AK80" s="602"/>
      <c r="AL80" s="561"/>
      <c r="AM80" s="561">
        <f>SUM(AJ80:AL80)</f>
        <v>312832</v>
      </c>
    </row>
    <row r="81" spans="1:39" s="837" customFormat="1" ht="17.25">
      <c r="A81" s="826">
        <v>42</v>
      </c>
      <c r="B81" s="828"/>
      <c r="C81" s="829"/>
      <c r="D81" s="830"/>
      <c r="E81" s="567" t="s">
        <v>790</v>
      </c>
      <c r="F81" s="827" t="s">
        <v>1213</v>
      </c>
      <c r="G81" s="838">
        <v>1</v>
      </c>
      <c r="H81" s="832">
        <v>1</v>
      </c>
      <c r="I81" s="563">
        <v>3.76</v>
      </c>
      <c r="J81" s="561">
        <f>I81*I260</f>
        <v>312832</v>
      </c>
      <c r="K81" s="602"/>
      <c r="L81" s="561"/>
      <c r="M81" s="561">
        <f>SUM(J81:L81)</f>
        <v>312832</v>
      </c>
      <c r="N81" s="561">
        <v>1</v>
      </c>
      <c r="O81" s="832">
        <v>0</v>
      </c>
      <c r="P81" s="563">
        <v>3.76</v>
      </c>
      <c r="Q81" s="561">
        <f>P81*83200</f>
        <v>312832</v>
      </c>
      <c r="R81" s="602"/>
      <c r="S81" s="561"/>
      <c r="T81" s="561">
        <f>Q81+R81+S81</f>
        <v>312832</v>
      </c>
      <c r="U81" s="567">
        <f>+G81-N81</f>
        <v>0</v>
      </c>
      <c r="V81" s="833">
        <f>J81-Q81</f>
        <v>0</v>
      </c>
      <c r="W81" s="567">
        <f>K81-R81</f>
        <v>0</v>
      </c>
      <c r="X81" s="833">
        <f>L81-S81</f>
        <v>0</v>
      </c>
      <c r="Y81" s="833">
        <f>M81-T81</f>
        <v>0</v>
      </c>
      <c r="Z81" s="561">
        <v>1</v>
      </c>
      <c r="AA81" s="832">
        <v>2</v>
      </c>
      <c r="AB81" s="563">
        <v>3.76</v>
      </c>
      <c r="AC81" s="561">
        <f>AB81*I260</f>
        <v>312832</v>
      </c>
      <c r="AD81" s="561"/>
      <c r="AE81" s="561"/>
      <c r="AF81" s="561">
        <f>SUM(AC81:AE81)</f>
        <v>312832</v>
      </c>
      <c r="AG81" s="561">
        <v>1</v>
      </c>
      <c r="AH81" s="832">
        <v>3</v>
      </c>
      <c r="AI81" s="563">
        <v>3.76</v>
      </c>
      <c r="AJ81" s="561">
        <f>AI81*I260</f>
        <v>312832</v>
      </c>
      <c r="AK81" s="602"/>
      <c r="AL81" s="561"/>
      <c r="AM81" s="561">
        <f>SUM(AJ81:AL81)</f>
        <v>312832</v>
      </c>
    </row>
    <row r="82" spans="1:39" s="837" customFormat="1" ht="17.25">
      <c r="A82" s="826">
        <v>43</v>
      </c>
      <c r="B82" s="828"/>
      <c r="C82" s="829"/>
      <c r="D82" s="830"/>
      <c r="E82" s="567" t="s">
        <v>790</v>
      </c>
      <c r="F82" s="827" t="s">
        <v>1214</v>
      </c>
      <c r="G82" s="838">
        <v>1</v>
      </c>
      <c r="H82" s="832">
        <v>1</v>
      </c>
      <c r="I82" s="563">
        <v>3.76</v>
      </c>
      <c r="J82" s="561">
        <f>I82*I260</f>
        <v>312832</v>
      </c>
      <c r="K82" s="602"/>
      <c r="L82" s="561"/>
      <c r="M82" s="561">
        <f t="shared" si="25"/>
        <v>312832</v>
      </c>
      <c r="N82" s="561">
        <v>1</v>
      </c>
      <c r="O82" s="832">
        <v>0</v>
      </c>
      <c r="P82" s="563">
        <v>3.76</v>
      </c>
      <c r="Q82" s="561">
        <f t="shared" si="29"/>
        <v>312832</v>
      </c>
      <c r="R82" s="602"/>
      <c r="S82" s="561"/>
      <c r="T82" s="561">
        <f t="shared" si="26"/>
        <v>312832</v>
      </c>
      <c r="U82" s="567">
        <f t="shared" si="27"/>
        <v>0</v>
      </c>
      <c r="V82" s="833">
        <f t="shared" si="28"/>
        <v>0</v>
      </c>
      <c r="W82" s="567">
        <f t="shared" si="28"/>
        <v>0</v>
      </c>
      <c r="X82" s="833">
        <f t="shared" si="28"/>
        <v>0</v>
      </c>
      <c r="Y82" s="833">
        <f t="shared" si="28"/>
        <v>0</v>
      </c>
      <c r="Z82" s="561">
        <v>1</v>
      </c>
      <c r="AA82" s="832">
        <v>2</v>
      </c>
      <c r="AB82" s="563">
        <v>3.76</v>
      </c>
      <c r="AC82" s="561">
        <f>AB82*I260</f>
        <v>312832</v>
      </c>
      <c r="AD82" s="561"/>
      <c r="AE82" s="561"/>
      <c r="AF82" s="561">
        <f>SUM(AC82:AE82)</f>
        <v>312832</v>
      </c>
      <c r="AG82" s="561">
        <v>1</v>
      </c>
      <c r="AH82" s="832">
        <v>3</v>
      </c>
      <c r="AI82" s="563">
        <v>3.76</v>
      </c>
      <c r="AJ82" s="561">
        <f>AI82*I260</f>
        <v>312832</v>
      </c>
      <c r="AK82" s="602"/>
      <c r="AL82" s="561"/>
      <c r="AM82" s="561">
        <f>SUM(AJ82:AL82)</f>
        <v>312832</v>
      </c>
    </row>
    <row r="83" spans="1:39" s="837" customFormat="1" ht="17.25">
      <c r="A83" s="826">
        <v>44</v>
      </c>
      <c r="B83" s="828"/>
      <c r="C83" s="829"/>
      <c r="D83" s="830"/>
      <c r="E83" s="567" t="s">
        <v>790</v>
      </c>
      <c r="F83" s="827" t="s">
        <v>1215</v>
      </c>
      <c r="G83" s="838">
        <v>1</v>
      </c>
      <c r="H83" s="832">
        <v>1</v>
      </c>
      <c r="I83" s="563">
        <v>3.76</v>
      </c>
      <c r="J83" s="561">
        <f>I83*I260</f>
        <v>312832</v>
      </c>
      <c r="K83" s="602"/>
      <c r="L83" s="561"/>
      <c r="M83" s="561">
        <f t="shared" si="25"/>
        <v>312832</v>
      </c>
      <c r="N83" s="561">
        <v>1</v>
      </c>
      <c r="O83" s="832">
        <v>0</v>
      </c>
      <c r="P83" s="563">
        <v>3.76</v>
      </c>
      <c r="Q83" s="561">
        <f t="shared" si="29"/>
        <v>312832</v>
      </c>
      <c r="R83" s="602"/>
      <c r="S83" s="561"/>
      <c r="T83" s="561">
        <f t="shared" si="26"/>
        <v>312832</v>
      </c>
      <c r="U83" s="567">
        <f t="shared" si="27"/>
        <v>0</v>
      </c>
      <c r="V83" s="833">
        <f>J83-Q83</f>
        <v>0</v>
      </c>
      <c r="W83" s="567">
        <f>K83-R83</f>
        <v>0</v>
      </c>
      <c r="X83" s="833">
        <f>L83-S83</f>
        <v>0</v>
      </c>
      <c r="Y83" s="833">
        <f>M83-T83</f>
        <v>0</v>
      </c>
      <c r="Z83" s="561">
        <v>1</v>
      </c>
      <c r="AA83" s="832">
        <v>2</v>
      </c>
      <c r="AB83" s="563">
        <v>3.76</v>
      </c>
      <c r="AC83" s="561">
        <f>AB83*I260</f>
        <v>312832</v>
      </c>
      <c r="AD83" s="561"/>
      <c r="AE83" s="561"/>
      <c r="AF83" s="561">
        <f>SUM(AC83:AE83)</f>
        <v>312832</v>
      </c>
      <c r="AG83" s="561">
        <v>1</v>
      </c>
      <c r="AH83" s="832">
        <v>3</v>
      </c>
      <c r="AI83" s="563">
        <v>3.76</v>
      </c>
      <c r="AJ83" s="561">
        <f>AI83*I260</f>
        <v>312832</v>
      </c>
      <c r="AK83" s="602"/>
      <c r="AL83" s="561"/>
      <c r="AM83" s="561">
        <f>SUM(AJ83:AL83)</f>
        <v>312832</v>
      </c>
    </row>
    <row r="84" spans="1:39" s="740" customFormat="1" ht="28.5">
      <c r="A84" s="818"/>
      <c r="B84" s="811" t="s">
        <v>132</v>
      </c>
      <c r="C84" s="792"/>
      <c r="D84" s="814"/>
      <c r="E84" s="815"/>
      <c r="F84" s="815"/>
      <c r="G84" s="814">
        <f>SUM(G72:G83)</f>
        <v>12</v>
      </c>
      <c r="H84" s="816" t="s">
        <v>1</v>
      </c>
      <c r="I84" s="814" t="s">
        <v>1</v>
      </c>
      <c r="J84" s="814">
        <f>SUM(J72:J83)</f>
        <v>4147698</v>
      </c>
      <c r="K84" s="814">
        <f>SUM(K72:K83)</f>
        <v>0</v>
      </c>
      <c r="L84" s="814">
        <f>SUM(L72:L83)</f>
        <v>56210.5</v>
      </c>
      <c r="M84" s="814">
        <f>SUM(M72:M83)</f>
        <v>4203908.5</v>
      </c>
      <c r="N84" s="814">
        <f>SUM(N72:N83)</f>
        <v>12</v>
      </c>
      <c r="O84" s="816" t="s">
        <v>1</v>
      </c>
      <c r="P84" s="814" t="s">
        <v>1</v>
      </c>
      <c r="Q84" s="814">
        <f aca="true" t="shared" si="30" ref="Q84:Z84">SUM(Q72:Q83)</f>
        <v>4126066</v>
      </c>
      <c r="R84" s="814">
        <f t="shared" si="30"/>
        <v>0</v>
      </c>
      <c r="S84" s="814">
        <f t="shared" si="30"/>
        <v>56210.5</v>
      </c>
      <c r="T84" s="814">
        <f t="shared" si="30"/>
        <v>4182276.5</v>
      </c>
      <c r="U84" s="814">
        <f t="shared" si="30"/>
        <v>0</v>
      </c>
      <c r="V84" s="814">
        <f t="shared" si="30"/>
        <v>21631.99999999994</v>
      </c>
      <c r="W84" s="814">
        <f t="shared" si="30"/>
        <v>0</v>
      </c>
      <c r="X84" s="814">
        <f t="shared" si="30"/>
        <v>0</v>
      </c>
      <c r="Y84" s="814">
        <f t="shared" si="30"/>
        <v>21631.99999999994</v>
      </c>
      <c r="Z84" s="814">
        <f t="shared" si="30"/>
        <v>12</v>
      </c>
      <c r="AA84" s="816" t="s">
        <v>1</v>
      </c>
      <c r="AB84" s="814" t="s">
        <v>1</v>
      </c>
      <c r="AC84" s="814">
        <f>SUM(AC72:AC83)</f>
        <v>4166834</v>
      </c>
      <c r="AD84" s="814">
        <f>SUM(AD72:AD83)</f>
        <v>0</v>
      </c>
      <c r="AE84" s="814">
        <f>SUM(AE72:AE83)</f>
        <v>56210.5</v>
      </c>
      <c r="AF84" s="814">
        <f>SUM(AF72:AF83)</f>
        <v>4223044.5</v>
      </c>
      <c r="AG84" s="814">
        <f>SUM(AG72:AG83)</f>
        <v>12</v>
      </c>
      <c r="AH84" s="816" t="s">
        <v>1</v>
      </c>
      <c r="AI84" s="814">
        <f>SUM(AI72:AI83)</f>
        <v>49.639999999999986</v>
      </c>
      <c r="AJ84" s="814">
        <f>SUM(AJ72:AJ83)</f>
        <v>4166834</v>
      </c>
      <c r="AK84" s="814">
        <f>SUM(AK72:AK83)</f>
        <v>0</v>
      </c>
      <c r="AL84" s="814">
        <f>SUM(AL72:AL83)</f>
        <v>56210.5</v>
      </c>
      <c r="AM84" s="814">
        <f>SUM(AM72:AM83)</f>
        <v>4223044.5</v>
      </c>
    </row>
    <row r="85" spans="1:39" ht="17.25">
      <c r="A85" s="818"/>
      <c r="B85" s="811"/>
      <c r="C85" s="790"/>
      <c r="D85" s="719"/>
      <c r="E85" s="718"/>
      <c r="F85" s="718"/>
      <c r="G85" s="719"/>
      <c r="H85" s="791"/>
      <c r="I85" s="795"/>
      <c r="J85" s="790"/>
      <c r="K85" s="797"/>
      <c r="L85" s="790"/>
      <c r="M85" s="790"/>
      <c r="N85" s="790"/>
      <c r="O85" s="791"/>
      <c r="P85" s="795"/>
      <c r="Q85" s="790"/>
      <c r="R85" s="797"/>
      <c r="S85" s="790"/>
      <c r="T85" s="790"/>
      <c r="U85" s="797"/>
      <c r="V85" s="798"/>
      <c r="W85" s="797"/>
      <c r="X85" s="798"/>
      <c r="Y85" s="798"/>
      <c r="Z85" s="790"/>
      <c r="AA85" s="791"/>
      <c r="AB85" s="718"/>
      <c r="AC85" s="790"/>
      <c r="AD85" s="790"/>
      <c r="AE85" s="790"/>
      <c r="AF85" s="790"/>
      <c r="AG85" s="790"/>
      <c r="AH85" s="791"/>
      <c r="AI85" s="718"/>
      <c r="AJ85" s="797"/>
      <c r="AK85" s="797"/>
      <c r="AL85" s="797"/>
      <c r="AM85" s="797"/>
    </row>
    <row r="86" spans="1:37" s="750" customFormat="1" ht="17.25">
      <c r="A86" s="818"/>
      <c r="B86" s="717" t="s">
        <v>131</v>
      </c>
      <c r="C86" s="790"/>
      <c r="D86" s="819"/>
      <c r="E86" s="717"/>
      <c r="F86" s="820"/>
      <c r="G86" s="819"/>
      <c r="H86" s="1135" t="s">
        <v>716</v>
      </c>
      <c r="I86" s="1136"/>
      <c r="J86" s="1136"/>
      <c r="K86" s="1136"/>
      <c r="L86" s="1136"/>
      <c r="M86" s="1136"/>
      <c r="N86" s="1137"/>
      <c r="O86" s="821"/>
      <c r="P86" s="822"/>
      <c r="Q86" s="818"/>
      <c r="R86" s="717"/>
      <c r="S86" s="818"/>
      <c r="T86" s="819"/>
      <c r="U86" s="717"/>
      <c r="V86" s="823"/>
      <c r="W86" s="717"/>
      <c r="X86" s="823"/>
      <c r="Y86" s="819"/>
      <c r="Z86" s="820"/>
      <c r="AA86" s="821"/>
      <c r="AB86" s="818"/>
      <c r="AC86" s="818"/>
      <c r="AD86" s="818"/>
      <c r="AE86" s="818"/>
      <c r="AF86" s="820"/>
      <c r="AG86" s="820"/>
      <c r="AH86" s="824"/>
      <c r="AI86" s="717"/>
      <c r="AJ86" s="717"/>
      <c r="AK86" s="717"/>
    </row>
    <row r="87" spans="1:39" ht="17.25">
      <c r="A87" s="826"/>
      <c r="B87" s="720"/>
      <c r="C87" s="790"/>
      <c r="D87" s="719"/>
      <c r="E87" s="718"/>
      <c r="F87" s="718"/>
      <c r="G87" s="719"/>
      <c r="H87" s="791"/>
      <c r="I87" s="795"/>
      <c r="J87" s="790"/>
      <c r="K87" s="797"/>
      <c r="L87" s="790"/>
      <c r="M87" s="790"/>
      <c r="N87" s="790"/>
      <c r="O87" s="791"/>
      <c r="P87" s="795"/>
      <c r="Q87" s="790"/>
      <c r="R87" s="797"/>
      <c r="S87" s="790"/>
      <c r="T87" s="790"/>
      <c r="U87" s="797"/>
      <c r="V87" s="798"/>
      <c r="W87" s="797"/>
      <c r="X87" s="798"/>
      <c r="Y87" s="798"/>
      <c r="Z87" s="790"/>
      <c r="AA87" s="791"/>
      <c r="AB87" s="718"/>
      <c r="AC87" s="790"/>
      <c r="AD87" s="790"/>
      <c r="AE87" s="790"/>
      <c r="AF87" s="790"/>
      <c r="AG87" s="790"/>
      <c r="AH87" s="791"/>
      <c r="AI87" s="718"/>
      <c r="AJ87" s="797"/>
      <c r="AK87" s="797"/>
      <c r="AL87" s="797"/>
      <c r="AM87" s="797"/>
    </row>
    <row r="88" spans="1:39" ht="34.5">
      <c r="A88" s="826">
        <v>45</v>
      </c>
      <c r="B88" s="720" t="s">
        <v>734</v>
      </c>
      <c r="C88" s="790" t="s">
        <v>697</v>
      </c>
      <c r="D88" s="719">
        <v>1979</v>
      </c>
      <c r="E88" s="799" t="s">
        <v>789</v>
      </c>
      <c r="F88" s="827" t="s">
        <v>1216</v>
      </c>
      <c r="G88" s="719">
        <v>1</v>
      </c>
      <c r="H88" s="791" t="s">
        <v>1217</v>
      </c>
      <c r="I88" s="795">
        <v>5.52</v>
      </c>
      <c r="J88" s="790">
        <f>I88*I260</f>
        <v>459263.99999999994</v>
      </c>
      <c r="K88" s="797"/>
      <c r="L88" s="790"/>
      <c r="M88" s="790">
        <f aca="true" t="shared" si="31" ref="M88:M98">J88+K88+L88</f>
        <v>459263.99999999994</v>
      </c>
      <c r="N88" s="790">
        <v>1</v>
      </c>
      <c r="O88" s="791" t="s">
        <v>1218</v>
      </c>
      <c r="P88" s="795">
        <v>5.35</v>
      </c>
      <c r="Q88" s="790">
        <f>P88*83200</f>
        <v>445119.99999999994</v>
      </c>
      <c r="R88" s="797"/>
      <c r="S88" s="790"/>
      <c r="T88" s="790">
        <f aca="true" t="shared" si="32" ref="T88:T102">Q88+R88+S88</f>
        <v>445119.99999999994</v>
      </c>
      <c r="U88" s="718">
        <f aca="true" t="shared" si="33" ref="U88:U102">+G88-N88</f>
        <v>0</v>
      </c>
      <c r="V88" s="719">
        <f aca="true" t="shared" si="34" ref="V88:Y102">J88-Q88</f>
        <v>14144</v>
      </c>
      <c r="W88" s="718">
        <f t="shared" si="34"/>
        <v>0</v>
      </c>
      <c r="X88" s="719">
        <f t="shared" si="34"/>
        <v>0</v>
      </c>
      <c r="Y88" s="719">
        <f t="shared" si="34"/>
        <v>14144</v>
      </c>
      <c r="Z88" s="790">
        <v>1</v>
      </c>
      <c r="AA88" s="791" t="s">
        <v>1219</v>
      </c>
      <c r="AB88" s="795">
        <v>5.52</v>
      </c>
      <c r="AC88" s="790">
        <f>AB88*I260</f>
        <v>459263.99999999994</v>
      </c>
      <c r="AD88" s="797"/>
      <c r="AE88" s="790"/>
      <c r="AF88" s="790">
        <f aca="true" t="shared" si="35" ref="AF88:AF98">AC88+AD88+AE88</f>
        <v>459263.99999999994</v>
      </c>
      <c r="AG88" s="790">
        <v>1</v>
      </c>
      <c r="AH88" s="791" t="s">
        <v>1220</v>
      </c>
      <c r="AI88" s="795">
        <v>5.71</v>
      </c>
      <c r="AJ88" s="790">
        <f>AI88*I260</f>
        <v>475072</v>
      </c>
      <c r="AK88" s="797"/>
      <c r="AL88" s="790"/>
      <c r="AM88" s="790">
        <f>AJ88+AK88+AL88</f>
        <v>475072</v>
      </c>
    </row>
    <row r="89" spans="1:39" ht="36.75" customHeight="1">
      <c r="A89" s="826">
        <v>46</v>
      </c>
      <c r="B89" s="720" t="s">
        <v>709</v>
      </c>
      <c r="C89" s="790" t="s">
        <v>697</v>
      </c>
      <c r="D89" s="719">
        <v>1985</v>
      </c>
      <c r="E89" s="799" t="s">
        <v>788</v>
      </c>
      <c r="F89" s="827" t="s">
        <v>1221</v>
      </c>
      <c r="G89" s="719">
        <v>1</v>
      </c>
      <c r="H89" s="791" t="s">
        <v>1222</v>
      </c>
      <c r="I89" s="563">
        <v>4.41</v>
      </c>
      <c r="J89" s="790">
        <f>I89*I260</f>
        <v>366912</v>
      </c>
      <c r="K89" s="797"/>
      <c r="L89" s="790"/>
      <c r="M89" s="790">
        <f>J89+K89+L89</f>
        <v>366912</v>
      </c>
      <c r="N89" s="719">
        <v>1</v>
      </c>
      <c r="O89" s="791" t="s">
        <v>1223</v>
      </c>
      <c r="P89" s="795">
        <v>4.27</v>
      </c>
      <c r="Q89" s="790">
        <f>P89*83200</f>
        <v>355263.99999999994</v>
      </c>
      <c r="R89" s="797"/>
      <c r="S89" s="790"/>
      <c r="T89" s="790">
        <f t="shared" si="32"/>
        <v>355263.99999999994</v>
      </c>
      <c r="U89" s="718">
        <f>+G89-N89</f>
        <v>0</v>
      </c>
      <c r="V89" s="719">
        <f t="shared" si="34"/>
        <v>11648.000000000058</v>
      </c>
      <c r="W89" s="718">
        <f t="shared" si="34"/>
        <v>0</v>
      </c>
      <c r="X89" s="719">
        <f t="shared" si="34"/>
        <v>0</v>
      </c>
      <c r="Y89" s="719">
        <f t="shared" si="34"/>
        <v>11648.000000000058</v>
      </c>
      <c r="Z89" s="790">
        <v>1</v>
      </c>
      <c r="AA89" s="791" t="s">
        <v>1218</v>
      </c>
      <c r="AB89" s="563">
        <v>4.41</v>
      </c>
      <c r="AC89" s="790">
        <f>AB89*I260</f>
        <v>366912</v>
      </c>
      <c r="AD89" s="790"/>
      <c r="AE89" s="790"/>
      <c r="AF89" s="790">
        <f>SUM(AC89:AE89)</f>
        <v>366912</v>
      </c>
      <c r="AG89" s="790">
        <v>1</v>
      </c>
      <c r="AH89" s="791" t="s">
        <v>1217</v>
      </c>
      <c r="AI89" s="795">
        <v>4.55</v>
      </c>
      <c r="AJ89" s="790">
        <f>AI89*I260</f>
        <v>378560</v>
      </c>
      <c r="AK89" s="797"/>
      <c r="AL89" s="797"/>
      <c r="AM89" s="790">
        <f>SUM(AJ89:AL89)</f>
        <v>378560</v>
      </c>
    </row>
    <row r="90" spans="1:39" ht="34.5">
      <c r="A90" s="826">
        <v>47</v>
      </c>
      <c r="B90" s="720"/>
      <c r="C90" s="790"/>
      <c r="D90" s="719"/>
      <c r="E90" s="799" t="s">
        <v>788</v>
      </c>
      <c r="F90" s="852" t="s">
        <v>1224</v>
      </c>
      <c r="G90" s="719">
        <v>1</v>
      </c>
      <c r="H90" s="791">
        <v>1</v>
      </c>
      <c r="I90" s="795">
        <v>4.55</v>
      </c>
      <c r="J90" s="790">
        <f>I90*I260</f>
        <v>378560</v>
      </c>
      <c r="K90" s="797"/>
      <c r="L90" s="790"/>
      <c r="M90" s="790">
        <f t="shared" si="31"/>
        <v>378560</v>
      </c>
      <c r="N90" s="790">
        <v>1</v>
      </c>
      <c r="O90" s="791">
        <v>0</v>
      </c>
      <c r="P90" s="795">
        <v>4.55</v>
      </c>
      <c r="Q90" s="790">
        <f>P90*83200</f>
        <v>378560</v>
      </c>
      <c r="R90" s="797"/>
      <c r="S90" s="790"/>
      <c r="T90" s="790">
        <f t="shared" si="32"/>
        <v>378560</v>
      </c>
      <c r="U90" s="718">
        <f t="shared" si="33"/>
        <v>0</v>
      </c>
      <c r="V90" s="719">
        <f t="shared" si="34"/>
        <v>0</v>
      </c>
      <c r="W90" s="718">
        <f t="shared" si="34"/>
        <v>0</v>
      </c>
      <c r="X90" s="719">
        <f t="shared" si="34"/>
        <v>0</v>
      </c>
      <c r="Y90" s="719">
        <f t="shared" si="34"/>
        <v>0</v>
      </c>
      <c r="Z90" s="790">
        <v>1</v>
      </c>
      <c r="AA90" s="791">
        <v>2</v>
      </c>
      <c r="AB90" s="795">
        <v>4.55</v>
      </c>
      <c r="AC90" s="790">
        <f>AB90*I260</f>
        <v>378560</v>
      </c>
      <c r="AD90" s="790"/>
      <c r="AE90" s="790"/>
      <c r="AF90" s="790">
        <f t="shared" si="35"/>
        <v>378560</v>
      </c>
      <c r="AG90" s="790">
        <v>1</v>
      </c>
      <c r="AH90" s="791">
        <v>3</v>
      </c>
      <c r="AI90" s="795">
        <v>4.55</v>
      </c>
      <c r="AJ90" s="790">
        <f>AI90*I260</f>
        <v>378560</v>
      </c>
      <c r="AK90" s="797"/>
      <c r="AL90" s="797"/>
      <c r="AM90" s="790">
        <f>AJ90+AK90+AL90</f>
        <v>378560</v>
      </c>
    </row>
    <row r="91" spans="1:39" ht="33.75" customHeight="1">
      <c r="A91" s="826">
        <v>48</v>
      </c>
      <c r="B91" s="720" t="s">
        <v>710</v>
      </c>
      <c r="C91" s="790" t="s">
        <v>697</v>
      </c>
      <c r="D91" s="719">
        <v>1965</v>
      </c>
      <c r="E91" s="718" t="s">
        <v>790</v>
      </c>
      <c r="F91" s="827" t="s">
        <v>1225</v>
      </c>
      <c r="G91" s="719">
        <v>1</v>
      </c>
      <c r="H91" s="791" t="s">
        <v>1223</v>
      </c>
      <c r="I91" s="795">
        <v>3.53</v>
      </c>
      <c r="J91" s="790">
        <f>I91*I260</f>
        <v>293696</v>
      </c>
      <c r="K91" s="797"/>
      <c r="L91" s="790"/>
      <c r="M91" s="790">
        <f>J91+K91+L91</f>
        <v>293696</v>
      </c>
      <c r="N91" s="719">
        <v>1</v>
      </c>
      <c r="O91" s="791" t="s">
        <v>1226</v>
      </c>
      <c r="P91" s="795">
        <v>3.42</v>
      </c>
      <c r="Q91" s="790">
        <f>P91*83200</f>
        <v>284544</v>
      </c>
      <c r="R91" s="797"/>
      <c r="S91" s="790"/>
      <c r="T91" s="790">
        <f t="shared" si="32"/>
        <v>284544</v>
      </c>
      <c r="U91" s="718">
        <f>+G91-N91</f>
        <v>0</v>
      </c>
      <c r="V91" s="719">
        <f t="shared" si="34"/>
        <v>9152</v>
      </c>
      <c r="W91" s="718">
        <f t="shared" si="34"/>
        <v>0</v>
      </c>
      <c r="X91" s="719">
        <f t="shared" si="34"/>
        <v>0</v>
      </c>
      <c r="Y91" s="719">
        <f t="shared" si="34"/>
        <v>9152</v>
      </c>
      <c r="Z91" s="790">
        <v>1</v>
      </c>
      <c r="AA91" s="791" t="s">
        <v>1222</v>
      </c>
      <c r="AB91" s="795">
        <v>3.64</v>
      </c>
      <c r="AC91" s="790">
        <f>AB91*I260</f>
        <v>302848</v>
      </c>
      <c r="AD91" s="790"/>
      <c r="AE91" s="790"/>
      <c r="AF91" s="790">
        <f>SUM(AC91:AE91)</f>
        <v>302848</v>
      </c>
      <c r="AG91" s="790">
        <v>1</v>
      </c>
      <c r="AH91" s="791" t="s">
        <v>1218</v>
      </c>
      <c r="AI91" s="795">
        <v>3.64</v>
      </c>
      <c r="AJ91" s="790">
        <f>AI91*I260</f>
        <v>302848</v>
      </c>
      <c r="AK91" s="797"/>
      <c r="AL91" s="797"/>
      <c r="AM91" s="790">
        <f>SUM(AJ91:AL91)</f>
        <v>302848</v>
      </c>
    </row>
    <row r="92" spans="1:39" s="837" customFormat="1" ht="19.5" customHeight="1">
      <c r="A92" s="826">
        <v>49</v>
      </c>
      <c r="B92" s="828" t="s">
        <v>711</v>
      </c>
      <c r="C92" s="829" t="s">
        <v>697</v>
      </c>
      <c r="D92" s="830">
        <v>1963</v>
      </c>
      <c r="E92" s="831" t="s">
        <v>790</v>
      </c>
      <c r="F92" s="827" t="s">
        <v>1227</v>
      </c>
      <c r="G92" s="830">
        <v>1</v>
      </c>
      <c r="H92" s="834" t="s">
        <v>1228</v>
      </c>
      <c r="I92" s="835">
        <v>4.27</v>
      </c>
      <c r="J92" s="829">
        <f>IF((I92*I260)&lt;385170,385170,I92*I260)</f>
        <v>385170</v>
      </c>
      <c r="K92" s="836"/>
      <c r="L92" s="830">
        <f>J92*5/100</f>
        <v>19258.5</v>
      </c>
      <c r="M92" s="830">
        <f>J92+K92+L92</f>
        <v>404428.5</v>
      </c>
      <c r="N92" s="830">
        <v>1</v>
      </c>
      <c r="O92" s="834" t="s">
        <v>1173</v>
      </c>
      <c r="P92" s="835">
        <v>4.27</v>
      </c>
      <c r="Q92" s="829">
        <f>IF((P92*83200)&lt;385170,385170,P92*83200)</f>
        <v>385170</v>
      </c>
      <c r="R92" s="836"/>
      <c r="S92" s="830">
        <f>Q92*5/100</f>
        <v>19258.5</v>
      </c>
      <c r="T92" s="830">
        <f t="shared" si="32"/>
        <v>404428.5</v>
      </c>
      <c r="U92" s="831">
        <f>+G92-N92</f>
        <v>0</v>
      </c>
      <c r="V92" s="830">
        <f t="shared" si="34"/>
        <v>0</v>
      </c>
      <c r="W92" s="831">
        <f t="shared" si="34"/>
        <v>0</v>
      </c>
      <c r="X92" s="830">
        <f t="shared" si="34"/>
        <v>0</v>
      </c>
      <c r="Y92" s="830">
        <f t="shared" si="34"/>
        <v>0</v>
      </c>
      <c r="Z92" s="829">
        <v>1</v>
      </c>
      <c r="AA92" s="834" t="s">
        <v>1229</v>
      </c>
      <c r="AB92" s="835">
        <v>4.27</v>
      </c>
      <c r="AC92" s="829">
        <f>IF((AB92*I260)&lt;385170,385170,AB92*I260)</f>
        <v>385170</v>
      </c>
      <c r="AD92" s="836"/>
      <c r="AE92" s="829">
        <f>AC92*5/100</f>
        <v>19258.5</v>
      </c>
      <c r="AF92" s="830">
        <f>AC92+AD92+AE92</f>
        <v>404428.5</v>
      </c>
      <c r="AG92" s="829">
        <v>1</v>
      </c>
      <c r="AH92" s="834" t="s">
        <v>1230</v>
      </c>
      <c r="AI92" s="835">
        <v>4.4</v>
      </c>
      <c r="AJ92" s="829">
        <f>IF((AI92*I260)&lt;385170,385170,AI92*I260)</f>
        <v>385170</v>
      </c>
      <c r="AK92" s="836"/>
      <c r="AL92" s="829">
        <f>AJ92*5/100</f>
        <v>19258.5</v>
      </c>
      <c r="AM92" s="830">
        <f aca="true" t="shared" si="36" ref="AM92:AM98">AJ92+AK92+AL92</f>
        <v>404428.5</v>
      </c>
    </row>
    <row r="93" spans="1:39" ht="21" customHeight="1">
      <c r="A93" s="826">
        <v>50</v>
      </c>
      <c r="B93" s="717" t="s">
        <v>827</v>
      </c>
      <c r="C93" s="790" t="s">
        <v>697</v>
      </c>
      <c r="D93" s="719">
        <v>1965</v>
      </c>
      <c r="E93" s="718" t="s">
        <v>790</v>
      </c>
      <c r="F93" s="827" t="s">
        <v>1231</v>
      </c>
      <c r="G93" s="719">
        <v>1</v>
      </c>
      <c r="H93" s="791" t="s">
        <v>1229</v>
      </c>
      <c r="I93" s="795">
        <v>4.4</v>
      </c>
      <c r="J93" s="790">
        <f>I93*I260</f>
        <v>366080.00000000006</v>
      </c>
      <c r="K93" s="797"/>
      <c r="L93" s="790"/>
      <c r="M93" s="790">
        <f>J93+K93+L93</f>
        <v>366080.00000000006</v>
      </c>
      <c r="N93" s="719">
        <v>1</v>
      </c>
      <c r="O93" s="791" t="s">
        <v>1228</v>
      </c>
      <c r="P93" s="795">
        <v>4.4</v>
      </c>
      <c r="Q93" s="790">
        <f>P93*83200</f>
        <v>366080.00000000006</v>
      </c>
      <c r="R93" s="797"/>
      <c r="S93" s="790"/>
      <c r="T93" s="790">
        <f t="shared" si="32"/>
        <v>366080.00000000006</v>
      </c>
      <c r="U93" s="718">
        <f>+G93-N93</f>
        <v>0</v>
      </c>
      <c r="V93" s="719">
        <f t="shared" si="34"/>
        <v>0</v>
      </c>
      <c r="W93" s="718">
        <f t="shared" si="34"/>
        <v>0</v>
      </c>
      <c r="X93" s="719">
        <f t="shared" si="34"/>
        <v>0</v>
      </c>
      <c r="Y93" s="719">
        <f t="shared" si="34"/>
        <v>0</v>
      </c>
      <c r="Z93" s="719">
        <v>1</v>
      </c>
      <c r="AA93" s="791" t="s">
        <v>1230</v>
      </c>
      <c r="AB93" s="795">
        <v>4.4</v>
      </c>
      <c r="AC93" s="790">
        <f>AB93*I260</f>
        <v>366080.00000000006</v>
      </c>
      <c r="AD93" s="797"/>
      <c r="AE93" s="790"/>
      <c r="AF93" s="790">
        <f>AC93+AD93+AE93</f>
        <v>366080.00000000006</v>
      </c>
      <c r="AG93" s="719">
        <v>1</v>
      </c>
      <c r="AH93" s="791" t="s">
        <v>1232</v>
      </c>
      <c r="AI93" s="795">
        <v>4.4</v>
      </c>
      <c r="AJ93" s="790">
        <f>AI93*I260</f>
        <v>366080.00000000006</v>
      </c>
      <c r="AK93" s="797"/>
      <c r="AL93" s="790"/>
      <c r="AM93" s="790">
        <f t="shared" si="36"/>
        <v>366080.00000000006</v>
      </c>
    </row>
    <row r="94" spans="1:39" ht="17.25">
      <c r="A94" s="826">
        <v>51</v>
      </c>
      <c r="B94" s="720" t="s">
        <v>712</v>
      </c>
      <c r="C94" s="790" t="s">
        <v>697</v>
      </c>
      <c r="D94" s="719">
        <v>1987</v>
      </c>
      <c r="E94" s="718" t="s">
        <v>790</v>
      </c>
      <c r="F94" s="827" t="s">
        <v>1233</v>
      </c>
      <c r="G94" s="719">
        <v>1</v>
      </c>
      <c r="H94" s="791" t="s">
        <v>1208</v>
      </c>
      <c r="I94" s="795">
        <v>4.01</v>
      </c>
      <c r="J94" s="790">
        <f>I94*I260</f>
        <v>333632</v>
      </c>
      <c r="K94" s="797"/>
      <c r="L94" s="719">
        <f>J94*5/100</f>
        <v>16681.6</v>
      </c>
      <c r="M94" s="719">
        <f>J94+K94+L94</f>
        <v>350313.6</v>
      </c>
      <c r="N94" s="719">
        <v>1</v>
      </c>
      <c r="O94" s="791" t="s">
        <v>1234</v>
      </c>
      <c r="P94" s="795">
        <v>4.01</v>
      </c>
      <c r="Q94" s="790">
        <f>P94*83200</f>
        <v>333632</v>
      </c>
      <c r="R94" s="797"/>
      <c r="S94" s="719">
        <f>Q94*5/100</f>
        <v>16681.6</v>
      </c>
      <c r="T94" s="719">
        <f t="shared" si="32"/>
        <v>350313.6</v>
      </c>
      <c r="U94" s="718">
        <f>+G94-N94</f>
        <v>0</v>
      </c>
      <c r="V94" s="719">
        <f t="shared" si="34"/>
        <v>0</v>
      </c>
      <c r="W94" s="718">
        <f t="shared" si="34"/>
        <v>0</v>
      </c>
      <c r="X94" s="719">
        <f t="shared" si="34"/>
        <v>0</v>
      </c>
      <c r="Y94" s="719">
        <f t="shared" si="34"/>
        <v>0</v>
      </c>
      <c r="Z94" s="719">
        <v>1</v>
      </c>
      <c r="AA94" s="791" t="s">
        <v>1235</v>
      </c>
      <c r="AB94" s="795">
        <v>4.01</v>
      </c>
      <c r="AC94" s="790">
        <f>AB94*I260</f>
        <v>333632</v>
      </c>
      <c r="AD94" s="797"/>
      <c r="AE94" s="790">
        <f>AC94*5/100</f>
        <v>16681.6</v>
      </c>
      <c r="AF94" s="719">
        <f>AC94+AD94+AE94</f>
        <v>350313.6</v>
      </c>
      <c r="AG94" s="719">
        <v>1</v>
      </c>
      <c r="AH94" s="791" t="s">
        <v>1209</v>
      </c>
      <c r="AI94" s="795">
        <v>4.13</v>
      </c>
      <c r="AJ94" s="790">
        <f>AI94*I260</f>
        <v>343616</v>
      </c>
      <c r="AK94" s="797"/>
      <c r="AL94" s="790">
        <f>AJ94*5/100</f>
        <v>17180.8</v>
      </c>
      <c r="AM94" s="719">
        <f t="shared" si="36"/>
        <v>360796.8</v>
      </c>
    </row>
    <row r="95" spans="1:39" s="837" customFormat="1" ht="17.25">
      <c r="A95" s="826">
        <v>52</v>
      </c>
      <c r="B95" s="828" t="s">
        <v>735</v>
      </c>
      <c r="C95" s="829" t="s">
        <v>697</v>
      </c>
      <c r="D95" s="830">
        <v>1962</v>
      </c>
      <c r="E95" s="831" t="s">
        <v>790</v>
      </c>
      <c r="F95" s="827" t="s">
        <v>1236</v>
      </c>
      <c r="G95" s="830">
        <v>1</v>
      </c>
      <c r="H95" s="834" t="s">
        <v>1192</v>
      </c>
      <c r="I95" s="835">
        <v>4.4</v>
      </c>
      <c r="J95" s="829">
        <f>IF((I95*I260)&lt;395160,395160,I95*I260)</f>
        <v>395160</v>
      </c>
      <c r="K95" s="836"/>
      <c r="L95" s="829">
        <f>J95*5/100</f>
        <v>19758</v>
      </c>
      <c r="M95" s="829">
        <f t="shared" si="31"/>
        <v>414918</v>
      </c>
      <c r="N95" s="829">
        <v>1</v>
      </c>
      <c r="O95" s="834" t="s">
        <v>1190</v>
      </c>
      <c r="P95" s="835">
        <v>4.4</v>
      </c>
      <c r="Q95" s="829">
        <f>IF((P95*83200)&lt;395160,395160,P95*83200)</f>
        <v>395160</v>
      </c>
      <c r="R95" s="836"/>
      <c r="S95" s="829">
        <f>Q95*5/100</f>
        <v>19758</v>
      </c>
      <c r="T95" s="829">
        <f t="shared" si="32"/>
        <v>414918</v>
      </c>
      <c r="U95" s="831">
        <f t="shared" si="33"/>
        <v>0</v>
      </c>
      <c r="V95" s="830">
        <f t="shared" si="34"/>
        <v>0</v>
      </c>
      <c r="W95" s="831">
        <f t="shared" si="34"/>
        <v>0</v>
      </c>
      <c r="X95" s="830">
        <f t="shared" si="34"/>
        <v>0</v>
      </c>
      <c r="Y95" s="830">
        <f t="shared" si="34"/>
        <v>0</v>
      </c>
      <c r="Z95" s="829">
        <v>1</v>
      </c>
      <c r="AA95" s="834" t="s">
        <v>1193</v>
      </c>
      <c r="AB95" s="835">
        <v>4.4</v>
      </c>
      <c r="AC95" s="829">
        <f>IF((AB95*I260)&lt;395160,395160,AB95*I260)</f>
        <v>395160</v>
      </c>
      <c r="AD95" s="836"/>
      <c r="AE95" s="829">
        <f>AC95*5/100</f>
        <v>19758</v>
      </c>
      <c r="AF95" s="829">
        <f>AC95+AD95+AE95</f>
        <v>414918</v>
      </c>
      <c r="AG95" s="829">
        <v>1</v>
      </c>
      <c r="AH95" s="834" t="s">
        <v>1237</v>
      </c>
      <c r="AI95" s="835">
        <v>4.4</v>
      </c>
      <c r="AJ95" s="829">
        <f>IF((AI95*I260)&lt;395160,395160,AI95*I260)</f>
        <v>395160</v>
      </c>
      <c r="AK95" s="836"/>
      <c r="AL95" s="829">
        <f>AJ95*5/100</f>
        <v>19758</v>
      </c>
      <c r="AM95" s="829">
        <f t="shared" si="36"/>
        <v>414918</v>
      </c>
    </row>
    <row r="96" spans="1:39" ht="17.25">
      <c r="A96" s="826">
        <v>53</v>
      </c>
      <c r="B96" s="720" t="s">
        <v>736</v>
      </c>
      <c r="C96" s="790" t="s">
        <v>697</v>
      </c>
      <c r="D96" s="719">
        <v>1981</v>
      </c>
      <c r="E96" s="718" t="s">
        <v>790</v>
      </c>
      <c r="F96" s="827" t="s">
        <v>1238</v>
      </c>
      <c r="G96" s="719">
        <v>1</v>
      </c>
      <c r="H96" s="791" t="s">
        <v>1239</v>
      </c>
      <c r="I96" s="795">
        <v>3.64</v>
      </c>
      <c r="J96" s="790">
        <f>I96*I260</f>
        <v>302848</v>
      </c>
      <c r="K96" s="797"/>
      <c r="L96" s="790"/>
      <c r="M96" s="790">
        <f t="shared" si="31"/>
        <v>302848</v>
      </c>
      <c r="N96" s="790">
        <v>1</v>
      </c>
      <c r="O96" s="791" t="s">
        <v>1240</v>
      </c>
      <c r="P96" s="795">
        <v>3.53</v>
      </c>
      <c r="Q96" s="790">
        <f>P96*83200</f>
        <v>293696</v>
      </c>
      <c r="R96" s="797"/>
      <c r="S96" s="790"/>
      <c r="T96" s="790">
        <f t="shared" si="32"/>
        <v>293696</v>
      </c>
      <c r="U96" s="718">
        <f t="shared" si="33"/>
        <v>0</v>
      </c>
      <c r="V96" s="719">
        <f t="shared" si="34"/>
        <v>9152</v>
      </c>
      <c r="W96" s="718">
        <f t="shared" si="34"/>
        <v>0</v>
      </c>
      <c r="X96" s="719">
        <f t="shared" si="34"/>
        <v>0</v>
      </c>
      <c r="Y96" s="719">
        <f t="shared" si="34"/>
        <v>9152</v>
      </c>
      <c r="Z96" s="790">
        <v>1</v>
      </c>
      <c r="AA96" s="791" t="s">
        <v>1241</v>
      </c>
      <c r="AB96" s="795">
        <v>3.64</v>
      </c>
      <c r="AC96" s="790">
        <f>AB96*I260</f>
        <v>302848</v>
      </c>
      <c r="AD96" s="790"/>
      <c r="AE96" s="790"/>
      <c r="AF96" s="790">
        <f t="shared" si="35"/>
        <v>302848</v>
      </c>
      <c r="AG96" s="790">
        <v>1</v>
      </c>
      <c r="AH96" s="791" t="s">
        <v>1242</v>
      </c>
      <c r="AI96" s="795">
        <v>3.76</v>
      </c>
      <c r="AJ96" s="790">
        <f>AI96*I260</f>
        <v>312832</v>
      </c>
      <c r="AK96" s="797"/>
      <c r="AL96" s="797"/>
      <c r="AM96" s="790">
        <f t="shared" si="36"/>
        <v>312832</v>
      </c>
    </row>
    <row r="97" spans="1:39" ht="17.25">
      <c r="A97" s="826">
        <v>54</v>
      </c>
      <c r="B97" s="720" t="s">
        <v>737</v>
      </c>
      <c r="C97" s="790" t="s">
        <v>703</v>
      </c>
      <c r="D97" s="719">
        <v>1988</v>
      </c>
      <c r="E97" s="718" t="s">
        <v>790</v>
      </c>
      <c r="F97" s="827" t="s">
        <v>1243</v>
      </c>
      <c r="G97" s="719">
        <v>1</v>
      </c>
      <c r="H97" s="791" t="s">
        <v>1244</v>
      </c>
      <c r="I97" s="795">
        <v>3.42</v>
      </c>
      <c r="J97" s="790">
        <f>I97*I260</f>
        <v>284544</v>
      </c>
      <c r="K97" s="797"/>
      <c r="L97" s="790"/>
      <c r="M97" s="790">
        <f t="shared" si="31"/>
        <v>284544</v>
      </c>
      <c r="N97" s="790">
        <v>1</v>
      </c>
      <c r="O97" s="791" t="s">
        <v>1245</v>
      </c>
      <c r="P97" s="795">
        <v>3.31</v>
      </c>
      <c r="Q97" s="790">
        <f>P97*83200</f>
        <v>275392</v>
      </c>
      <c r="R97" s="797"/>
      <c r="S97" s="790"/>
      <c r="T97" s="790">
        <f t="shared" si="32"/>
        <v>275392</v>
      </c>
      <c r="U97" s="718">
        <f t="shared" si="33"/>
        <v>0</v>
      </c>
      <c r="V97" s="719">
        <f t="shared" si="34"/>
        <v>9152</v>
      </c>
      <c r="W97" s="718">
        <f t="shared" si="34"/>
        <v>0</v>
      </c>
      <c r="X97" s="719">
        <f t="shared" si="34"/>
        <v>0</v>
      </c>
      <c r="Y97" s="719">
        <f t="shared" si="34"/>
        <v>9152</v>
      </c>
      <c r="Z97" s="790">
        <v>1</v>
      </c>
      <c r="AA97" s="791" t="s">
        <v>1246</v>
      </c>
      <c r="AB97" s="795">
        <v>3.53</v>
      </c>
      <c r="AC97" s="790">
        <f>AB97*I260</f>
        <v>293696</v>
      </c>
      <c r="AD97" s="790"/>
      <c r="AE97" s="790"/>
      <c r="AF97" s="790">
        <f t="shared" si="35"/>
        <v>293696</v>
      </c>
      <c r="AG97" s="790">
        <v>1</v>
      </c>
      <c r="AH97" s="791" t="s">
        <v>1247</v>
      </c>
      <c r="AI97" s="795">
        <v>3.64</v>
      </c>
      <c r="AJ97" s="790">
        <f>AI97*I260</f>
        <v>302848</v>
      </c>
      <c r="AK97" s="797"/>
      <c r="AL97" s="797"/>
      <c r="AM97" s="790">
        <f t="shared" si="36"/>
        <v>302848</v>
      </c>
    </row>
    <row r="98" spans="1:39" s="837" customFormat="1" ht="17.25">
      <c r="A98" s="826">
        <v>55</v>
      </c>
      <c r="B98" s="828" t="s">
        <v>738</v>
      </c>
      <c r="C98" s="829" t="s">
        <v>697</v>
      </c>
      <c r="D98" s="830">
        <v>1963</v>
      </c>
      <c r="E98" s="831" t="s">
        <v>790</v>
      </c>
      <c r="F98" s="827" t="s">
        <v>1248</v>
      </c>
      <c r="G98" s="830">
        <v>1</v>
      </c>
      <c r="H98" s="832" t="s">
        <v>1249</v>
      </c>
      <c r="I98" s="563">
        <v>4.13</v>
      </c>
      <c r="J98" s="561">
        <f>I98*I260</f>
        <v>343616</v>
      </c>
      <c r="K98" s="602"/>
      <c r="L98" s="833">
        <f>J98*5/100</f>
        <v>17180.8</v>
      </c>
      <c r="M98" s="833">
        <f t="shared" si="31"/>
        <v>360796.8</v>
      </c>
      <c r="N98" s="829">
        <v>1</v>
      </c>
      <c r="O98" s="834" t="s">
        <v>1250</v>
      </c>
      <c r="P98" s="835">
        <v>4.01</v>
      </c>
      <c r="Q98" s="829">
        <f>IF((P98*83200)&lt;342990,342990,P98*83200)</f>
        <v>342990</v>
      </c>
      <c r="R98" s="836"/>
      <c r="S98" s="830">
        <f>Q98*5/100</f>
        <v>17149.5</v>
      </c>
      <c r="T98" s="830">
        <f t="shared" si="32"/>
        <v>360139.5</v>
      </c>
      <c r="U98" s="567">
        <f t="shared" si="33"/>
        <v>0</v>
      </c>
      <c r="V98" s="833">
        <f>J98-Q98</f>
        <v>626</v>
      </c>
      <c r="W98" s="567">
        <f t="shared" si="34"/>
        <v>0</v>
      </c>
      <c r="X98" s="833">
        <f>L98-S98</f>
        <v>31.299999999999272</v>
      </c>
      <c r="Y98" s="833">
        <f t="shared" si="34"/>
        <v>657.2999999999884</v>
      </c>
      <c r="Z98" s="561">
        <v>1</v>
      </c>
      <c r="AA98" s="832" t="s">
        <v>1251</v>
      </c>
      <c r="AB98" s="563">
        <v>4.13</v>
      </c>
      <c r="AC98" s="790">
        <f>AB98*I260</f>
        <v>343616</v>
      </c>
      <c r="AD98" s="602"/>
      <c r="AE98" s="833">
        <f>AC98*5/100</f>
        <v>17180.8</v>
      </c>
      <c r="AF98" s="833">
        <f t="shared" si="35"/>
        <v>360796.8</v>
      </c>
      <c r="AG98" s="561">
        <v>1</v>
      </c>
      <c r="AH98" s="832" t="s">
        <v>1252</v>
      </c>
      <c r="AI98" s="563">
        <v>4.13</v>
      </c>
      <c r="AJ98" s="790">
        <f>AI98*I260</f>
        <v>343616</v>
      </c>
      <c r="AK98" s="602"/>
      <c r="AL98" s="833">
        <f>AJ98*5/100</f>
        <v>17180.8</v>
      </c>
      <c r="AM98" s="833">
        <f t="shared" si="36"/>
        <v>360796.8</v>
      </c>
    </row>
    <row r="99" spans="1:39" s="740" customFormat="1" ht="17.25">
      <c r="A99" s="826">
        <v>56</v>
      </c>
      <c r="B99" s="717"/>
      <c r="C99" s="792"/>
      <c r="D99" s="814"/>
      <c r="E99" s="718" t="s">
        <v>790</v>
      </c>
      <c r="F99" s="827" t="s">
        <v>1253</v>
      </c>
      <c r="G99" s="719">
        <v>1</v>
      </c>
      <c r="H99" s="791">
        <v>1</v>
      </c>
      <c r="I99" s="795">
        <v>3.76</v>
      </c>
      <c r="J99" s="790">
        <f>I99*I260</f>
        <v>312832</v>
      </c>
      <c r="K99" s="797"/>
      <c r="L99" s="790"/>
      <c r="M99" s="790">
        <f>J99+K99+L99</f>
        <v>312832</v>
      </c>
      <c r="N99" s="790">
        <v>1</v>
      </c>
      <c r="O99" s="791">
        <v>0</v>
      </c>
      <c r="P99" s="795">
        <v>3.76</v>
      </c>
      <c r="Q99" s="790">
        <f>P99*83200</f>
        <v>312832</v>
      </c>
      <c r="R99" s="797"/>
      <c r="S99" s="790"/>
      <c r="T99" s="790">
        <f>Q99+R99+S99</f>
        <v>312832</v>
      </c>
      <c r="U99" s="718">
        <f>+G99-N99</f>
        <v>0</v>
      </c>
      <c r="V99" s="719">
        <f aca="true" t="shared" si="37" ref="V99:Y100">J99-Q99</f>
        <v>0</v>
      </c>
      <c r="W99" s="718">
        <f t="shared" si="37"/>
        <v>0</v>
      </c>
      <c r="X99" s="719">
        <f t="shared" si="37"/>
        <v>0</v>
      </c>
      <c r="Y99" s="719">
        <f t="shared" si="37"/>
        <v>0</v>
      </c>
      <c r="Z99" s="790">
        <v>1</v>
      </c>
      <c r="AA99" s="791">
        <v>2</v>
      </c>
      <c r="AB99" s="795">
        <v>3.76</v>
      </c>
      <c r="AC99" s="790">
        <f>AB99*I260</f>
        <v>312832</v>
      </c>
      <c r="AD99" s="790"/>
      <c r="AE99" s="790"/>
      <c r="AF99" s="790">
        <f>+AC99+AD99</f>
        <v>312832</v>
      </c>
      <c r="AG99" s="790">
        <v>1</v>
      </c>
      <c r="AH99" s="791">
        <v>3</v>
      </c>
      <c r="AI99" s="795">
        <v>3.76</v>
      </c>
      <c r="AJ99" s="790">
        <f>AI99*I260</f>
        <v>312832</v>
      </c>
      <c r="AK99" s="797"/>
      <c r="AL99" s="797"/>
      <c r="AM99" s="790">
        <f>AJ99+AK99</f>
        <v>312832</v>
      </c>
    </row>
    <row r="100" spans="1:39" ht="17.25">
      <c r="A100" s="826">
        <v>57</v>
      </c>
      <c r="B100" s="720"/>
      <c r="C100" s="790"/>
      <c r="D100" s="719"/>
      <c r="E100" s="718" t="s">
        <v>790</v>
      </c>
      <c r="F100" s="827" t="s">
        <v>1254</v>
      </c>
      <c r="G100" s="719">
        <v>1</v>
      </c>
      <c r="H100" s="791">
        <v>1</v>
      </c>
      <c r="I100" s="795">
        <v>3.76</v>
      </c>
      <c r="J100" s="790">
        <f>I100*I260</f>
        <v>312832</v>
      </c>
      <c r="K100" s="797"/>
      <c r="L100" s="790"/>
      <c r="M100" s="790">
        <f>J100+K100+L100</f>
        <v>312832</v>
      </c>
      <c r="N100" s="790">
        <v>1</v>
      </c>
      <c r="O100" s="791">
        <v>0</v>
      </c>
      <c r="P100" s="795">
        <v>3.76</v>
      </c>
      <c r="Q100" s="790">
        <f>P100*83200</f>
        <v>312832</v>
      </c>
      <c r="R100" s="797"/>
      <c r="S100" s="790"/>
      <c r="T100" s="790">
        <f>Q100+R100+S100</f>
        <v>312832</v>
      </c>
      <c r="U100" s="718">
        <f>+G100-N100</f>
        <v>0</v>
      </c>
      <c r="V100" s="719">
        <f t="shared" si="37"/>
        <v>0</v>
      </c>
      <c r="W100" s="718">
        <f t="shared" si="37"/>
        <v>0</v>
      </c>
      <c r="X100" s="719">
        <f t="shared" si="37"/>
        <v>0</v>
      </c>
      <c r="Y100" s="719">
        <f t="shared" si="37"/>
        <v>0</v>
      </c>
      <c r="Z100" s="790">
        <v>1</v>
      </c>
      <c r="AA100" s="791">
        <v>2</v>
      </c>
      <c r="AB100" s="795">
        <v>3.76</v>
      </c>
      <c r="AC100" s="790">
        <f>AB100*I260</f>
        <v>312832</v>
      </c>
      <c r="AD100" s="790"/>
      <c r="AE100" s="790"/>
      <c r="AF100" s="790">
        <f>+AC100+AD100</f>
        <v>312832</v>
      </c>
      <c r="AG100" s="790">
        <v>1</v>
      </c>
      <c r="AH100" s="791">
        <v>3</v>
      </c>
      <c r="AI100" s="795">
        <v>3.76</v>
      </c>
      <c r="AJ100" s="790">
        <f>AI100*I260</f>
        <v>312832</v>
      </c>
      <c r="AK100" s="797"/>
      <c r="AL100" s="797"/>
      <c r="AM100" s="790">
        <f>AJ100+AK100</f>
        <v>312832</v>
      </c>
    </row>
    <row r="101" spans="1:39" s="837" customFormat="1" ht="17.25">
      <c r="A101" s="826">
        <v>58</v>
      </c>
      <c r="B101" s="828"/>
      <c r="C101" s="829"/>
      <c r="D101" s="830"/>
      <c r="E101" s="567" t="s">
        <v>790</v>
      </c>
      <c r="F101" s="827" t="s">
        <v>1255</v>
      </c>
      <c r="G101" s="838">
        <v>1</v>
      </c>
      <c r="H101" s="832">
        <v>1</v>
      </c>
      <c r="I101" s="563">
        <v>3.76</v>
      </c>
      <c r="J101" s="561">
        <f>I101*I260</f>
        <v>312832</v>
      </c>
      <c r="K101" s="602"/>
      <c r="L101" s="561"/>
      <c r="M101" s="561">
        <f>SUM(J101:L101)</f>
        <v>312832</v>
      </c>
      <c r="N101" s="561">
        <v>1</v>
      </c>
      <c r="O101" s="832">
        <v>0</v>
      </c>
      <c r="P101" s="563">
        <v>3.76</v>
      </c>
      <c r="Q101" s="561">
        <f>P101*83200</f>
        <v>312832</v>
      </c>
      <c r="R101" s="602"/>
      <c r="S101" s="561"/>
      <c r="T101" s="561">
        <f t="shared" si="32"/>
        <v>312832</v>
      </c>
      <c r="U101" s="567">
        <f t="shared" si="33"/>
        <v>0</v>
      </c>
      <c r="V101" s="833">
        <f t="shared" si="34"/>
        <v>0</v>
      </c>
      <c r="W101" s="567">
        <f t="shared" si="34"/>
        <v>0</v>
      </c>
      <c r="X101" s="833">
        <f t="shared" si="34"/>
        <v>0</v>
      </c>
      <c r="Y101" s="833">
        <f t="shared" si="34"/>
        <v>0</v>
      </c>
      <c r="Z101" s="561">
        <v>1</v>
      </c>
      <c r="AA101" s="832">
        <v>2</v>
      </c>
      <c r="AB101" s="563">
        <v>3.76</v>
      </c>
      <c r="AC101" s="561">
        <f>AB101*I260</f>
        <v>312832</v>
      </c>
      <c r="AD101" s="561"/>
      <c r="AE101" s="561"/>
      <c r="AF101" s="561">
        <f>SUM(AC101:AE101)</f>
        <v>312832</v>
      </c>
      <c r="AG101" s="561">
        <v>1</v>
      </c>
      <c r="AH101" s="832">
        <v>3</v>
      </c>
      <c r="AI101" s="563">
        <v>3.76</v>
      </c>
      <c r="AJ101" s="561">
        <f>AI101*I260</f>
        <v>312832</v>
      </c>
      <c r="AK101" s="602"/>
      <c r="AL101" s="561"/>
      <c r="AM101" s="561">
        <f>SUM(AJ101:AL101)</f>
        <v>312832</v>
      </c>
    </row>
    <row r="102" spans="1:39" s="837" customFormat="1" ht="17.25">
      <c r="A102" s="826">
        <v>59</v>
      </c>
      <c r="B102" s="828"/>
      <c r="C102" s="829"/>
      <c r="D102" s="830"/>
      <c r="E102" s="567" t="s">
        <v>790</v>
      </c>
      <c r="F102" s="827" t="s">
        <v>1256</v>
      </c>
      <c r="G102" s="838">
        <v>1</v>
      </c>
      <c r="H102" s="832">
        <v>1</v>
      </c>
      <c r="I102" s="563">
        <v>3.76</v>
      </c>
      <c r="J102" s="561">
        <f>I102*I260</f>
        <v>312832</v>
      </c>
      <c r="K102" s="602"/>
      <c r="L102" s="561"/>
      <c r="M102" s="561">
        <f>SUM(J102:L102)</f>
        <v>312832</v>
      </c>
      <c r="N102" s="561">
        <v>1</v>
      </c>
      <c r="O102" s="832">
        <v>0</v>
      </c>
      <c r="P102" s="563">
        <v>3.76</v>
      </c>
      <c r="Q102" s="561">
        <f>P102*83200</f>
        <v>312832</v>
      </c>
      <c r="R102" s="602"/>
      <c r="S102" s="561"/>
      <c r="T102" s="561">
        <f t="shared" si="32"/>
        <v>312832</v>
      </c>
      <c r="U102" s="567">
        <f t="shared" si="33"/>
        <v>0</v>
      </c>
      <c r="V102" s="833">
        <f t="shared" si="34"/>
        <v>0</v>
      </c>
      <c r="W102" s="567">
        <f t="shared" si="34"/>
        <v>0</v>
      </c>
      <c r="X102" s="833">
        <f t="shared" si="34"/>
        <v>0</v>
      </c>
      <c r="Y102" s="833">
        <f t="shared" si="34"/>
        <v>0</v>
      </c>
      <c r="Z102" s="561">
        <v>1</v>
      </c>
      <c r="AA102" s="832">
        <v>2</v>
      </c>
      <c r="AB102" s="563">
        <v>3.76</v>
      </c>
      <c r="AC102" s="561">
        <f>AB102*I260</f>
        <v>312832</v>
      </c>
      <c r="AD102" s="561"/>
      <c r="AE102" s="561"/>
      <c r="AF102" s="561">
        <f>SUM(AC102:AE102)</f>
        <v>312832</v>
      </c>
      <c r="AG102" s="561">
        <v>1</v>
      </c>
      <c r="AH102" s="832">
        <v>3</v>
      </c>
      <c r="AI102" s="563">
        <v>3.76</v>
      </c>
      <c r="AJ102" s="561">
        <f>AI102*I260</f>
        <v>312832</v>
      </c>
      <c r="AK102" s="602"/>
      <c r="AL102" s="561"/>
      <c r="AM102" s="561">
        <f>SUM(AJ102:AL102)</f>
        <v>312832</v>
      </c>
    </row>
    <row r="103" spans="1:39" s="740" customFormat="1" ht="28.5">
      <c r="A103" s="818"/>
      <c r="B103" s="811" t="s">
        <v>132</v>
      </c>
      <c r="C103" s="792"/>
      <c r="D103" s="814"/>
      <c r="E103" s="815"/>
      <c r="F103" s="815"/>
      <c r="G103" s="814">
        <f>SUM(G88:G102)</f>
        <v>15</v>
      </c>
      <c r="H103" s="816" t="s">
        <v>1</v>
      </c>
      <c r="I103" s="814" t="s">
        <v>1</v>
      </c>
      <c r="J103" s="814">
        <f>SUM(J88:J102)</f>
        <v>5160810</v>
      </c>
      <c r="K103" s="814">
        <f>SUM(K88:K102)</f>
        <v>0</v>
      </c>
      <c r="L103" s="814">
        <f>SUM(L88:L102)</f>
        <v>72878.9</v>
      </c>
      <c r="M103" s="814">
        <f>SUM(M88:M102)</f>
        <v>5233688.9</v>
      </c>
      <c r="N103" s="814">
        <f>SUM(N88:N102)</f>
        <v>15</v>
      </c>
      <c r="O103" s="816" t="s">
        <v>1</v>
      </c>
      <c r="P103" s="814" t="s">
        <v>1</v>
      </c>
      <c r="Q103" s="814">
        <f aca="true" t="shared" si="38" ref="Q103:Z103">SUM(Q88:Q102)</f>
        <v>5106936</v>
      </c>
      <c r="R103" s="814">
        <f t="shared" si="38"/>
        <v>0</v>
      </c>
      <c r="S103" s="814">
        <f t="shared" si="38"/>
        <v>72847.6</v>
      </c>
      <c r="T103" s="814">
        <f t="shared" si="38"/>
        <v>5179783.6</v>
      </c>
      <c r="U103" s="814">
        <f t="shared" si="38"/>
        <v>0</v>
      </c>
      <c r="V103" s="814">
        <f t="shared" si="38"/>
        <v>53874.00000000006</v>
      </c>
      <c r="W103" s="814">
        <f t="shared" si="38"/>
        <v>0</v>
      </c>
      <c r="X103" s="814">
        <f t="shared" si="38"/>
        <v>31.299999999999272</v>
      </c>
      <c r="Y103" s="814">
        <f t="shared" si="38"/>
        <v>53905.30000000005</v>
      </c>
      <c r="Z103" s="814">
        <f t="shared" si="38"/>
        <v>15</v>
      </c>
      <c r="AA103" s="816" t="s">
        <v>1</v>
      </c>
      <c r="AB103" s="814" t="s">
        <v>1</v>
      </c>
      <c r="AC103" s="814">
        <f>SUM(AC88:AC102)</f>
        <v>5179114</v>
      </c>
      <c r="AD103" s="814">
        <f>SUM(AD88:AD102)</f>
        <v>0</v>
      </c>
      <c r="AE103" s="814">
        <f>SUM(AE88:AE102)</f>
        <v>72878.9</v>
      </c>
      <c r="AF103" s="814">
        <f>SUM(AF88:AF102)</f>
        <v>5251992.9</v>
      </c>
      <c r="AG103" s="814">
        <f>SUM(AG88:AG102)</f>
        <v>15</v>
      </c>
      <c r="AH103" s="816" t="s">
        <v>1</v>
      </c>
      <c r="AI103" s="814" t="s">
        <v>1</v>
      </c>
      <c r="AJ103" s="814">
        <f>SUM(AJ88:AJ102)</f>
        <v>5235690</v>
      </c>
      <c r="AK103" s="814">
        <f>SUM(AK88:AK102)</f>
        <v>0</v>
      </c>
      <c r="AL103" s="814">
        <f>SUM(AL88:AL102)</f>
        <v>73378.1</v>
      </c>
      <c r="AM103" s="814">
        <f>SUM(AM88:AM102)</f>
        <v>5309068.1</v>
      </c>
    </row>
    <row r="104" spans="1:37" s="750" customFormat="1" ht="18" customHeight="1">
      <c r="A104" s="818"/>
      <c r="B104" s="717" t="s">
        <v>131</v>
      </c>
      <c r="C104" s="790"/>
      <c r="D104" s="819"/>
      <c r="E104" s="717"/>
      <c r="F104" s="820"/>
      <c r="G104" s="819"/>
      <c r="H104" s="1135" t="s">
        <v>1257</v>
      </c>
      <c r="I104" s="1136"/>
      <c r="J104" s="1136"/>
      <c r="K104" s="1136"/>
      <c r="L104" s="1136"/>
      <c r="M104" s="1136"/>
      <c r="N104" s="1137"/>
      <c r="O104" s="821"/>
      <c r="P104" s="822"/>
      <c r="Q104" s="818"/>
      <c r="R104" s="717"/>
      <c r="S104" s="818"/>
      <c r="T104" s="818"/>
      <c r="U104" s="717"/>
      <c r="V104" s="823"/>
      <c r="W104" s="717"/>
      <c r="X104" s="823"/>
      <c r="Y104" s="819"/>
      <c r="Z104" s="820"/>
      <c r="AA104" s="821"/>
      <c r="AB104" s="818"/>
      <c r="AC104" s="818"/>
      <c r="AD104" s="818"/>
      <c r="AE104" s="818"/>
      <c r="AF104" s="820"/>
      <c r="AG104" s="820"/>
      <c r="AH104" s="824"/>
      <c r="AI104" s="717"/>
      <c r="AJ104" s="717"/>
      <c r="AK104" s="717"/>
    </row>
    <row r="105" spans="1:39" ht="18" customHeight="1">
      <c r="A105" s="826"/>
      <c r="B105" s="720"/>
      <c r="C105" s="790"/>
      <c r="D105" s="719"/>
      <c r="E105" s="718"/>
      <c r="F105" s="718"/>
      <c r="G105" s="719"/>
      <c r="H105" s="791"/>
      <c r="I105" s="795"/>
      <c r="J105" s="790"/>
      <c r="K105" s="797"/>
      <c r="L105" s="790"/>
      <c r="M105" s="790"/>
      <c r="N105" s="790"/>
      <c r="O105" s="791"/>
      <c r="P105" s="795"/>
      <c r="Q105" s="790"/>
      <c r="R105" s="797"/>
      <c r="S105" s="790"/>
      <c r="T105" s="790"/>
      <c r="U105" s="797"/>
      <c r="V105" s="798"/>
      <c r="W105" s="797"/>
      <c r="X105" s="798"/>
      <c r="Y105" s="798"/>
      <c r="Z105" s="790"/>
      <c r="AA105" s="791"/>
      <c r="AB105" s="718"/>
      <c r="AC105" s="790"/>
      <c r="AD105" s="790"/>
      <c r="AE105" s="790"/>
      <c r="AF105" s="790"/>
      <c r="AG105" s="790"/>
      <c r="AH105" s="791"/>
      <c r="AI105" s="718"/>
      <c r="AJ105" s="797"/>
      <c r="AK105" s="797"/>
      <c r="AL105" s="797"/>
      <c r="AM105" s="797"/>
    </row>
    <row r="106" spans="1:39" ht="18" customHeight="1">
      <c r="A106" s="826">
        <v>60</v>
      </c>
      <c r="B106" s="720" t="s">
        <v>1258</v>
      </c>
      <c r="C106" s="790" t="s">
        <v>697</v>
      </c>
      <c r="D106" s="719">
        <v>1966</v>
      </c>
      <c r="E106" s="799" t="s">
        <v>789</v>
      </c>
      <c r="F106" s="827" t="s">
        <v>1259</v>
      </c>
      <c r="G106" s="719">
        <v>1</v>
      </c>
      <c r="H106" s="791" t="s">
        <v>1260</v>
      </c>
      <c r="I106" s="795">
        <v>6.09</v>
      </c>
      <c r="J106" s="790">
        <f>I106*I260</f>
        <v>506688</v>
      </c>
      <c r="K106" s="797"/>
      <c r="L106" s="790"/>
      <c r="M106" s="790">
        <f>J106+K106+L106</f>
        <v>506688</v>
      </c>
      <c r="N106" s="790">
        <v>1</v>
      </c>
      <c r="O106" s="791" t="s">
        <v>1261</v>
      </c>
      <c r="P106" s="795">
        <v>6.09</v>
      </c>
      <c r="Q106" s="790">
        <f>P106*83200</f>
        <v>506688</v>
      </c>
      <c r="R106" s="797"/>
      <c r="S106" s="790"/>
      <c r="T106" s="790">
        <f aca="true" t="shared" si="39" ref="T106:T118">Q106+R106+S106</f>
        <v>506688</v>
      </c>
      <c r="U106" s="718">
        <f aca="true" t="shared" si="40" ref="U106:U121">+G106-N106</f>
        <v>0</v>
      </c>
      <c r="V106" s="719">
        <f aca="true" t="shared" si="41" ref="V106:Y121">J106-Q106</f>
        <v>0</v>
      </c>
      <c r="W106" s="718">
        <f t="shared" si="41"/>
        <v>0</v>
      </c>
      <c r="X106" s="719">
        <f t="shared" si="41"/>
        <v>0</v>
      </c>
      <c r="Y106" s="719">
        <f t="shared" si="41"/>
        <v>0</v>
      </c>
      <c r="Z106" s="790">
        <v>1</v>
      </c>
      <c r="AA106" s="791" t="s">
        <v>1262</v>
      </c>
      <c r="AB106" s="795">
        <v>6.09</v>
      </c>
      <c r="AC106" s="790">
        <f>AB106*I260</f>
        <v>506688</v>
      </c>
      <c r="AD106" s="797"/>
      <c r="AE106" s="790"/>
      <c r="AF106" s="790">
        <f>AC106+AD106+AE106</f>
        <v>506688</v>
      </c>
      <c r="AG106" s="790">
        <v>1</v>
      </c>
      <c r="AH106" s="791" t="s">
        <v>1263</v>
      </c>
      <c r="AI106" s="795">
        <v>6.29</v>
      </c>
      <c r="AJ106" s="790">
        <f>AI106*I260</f>
        <v>523328</v>
      </c>
      <c r="AK106" s="797"/>
      <c r="AL106" s="790"/>
      <c r="AM106" s="790">
        <f>AJ106+AK106+AL106</f>
        <v>523328</v>
      </c>
    </row>
    <row r="107" spans="1:39" s="837" customFormat="1" ht="18" customHeight="1">
      <c r="A107" s="853">
        <v>61</v>
      </c>
      <c r="B107" s="828" t="s">
        <v>728</v>
      </c>
      <c r="C107" s="829" t="s">
        <v>697</v>
      </c>
      <c r="D107" s="830">
        <v>1961</v>
      </c>
      <c r="E107" s="854" t="s">
        <v>788</v>
      </c>
      <c r="F107" s="827" t="s">
        <v>1264</v>
      </c>
      <c r="G107" s="830">
        <v>1</v>
      </c>
      <c r="H107" s="834" t="s">
        <v>1265</v>
      </c>
      <c r="I107" s="835">
        <v>5.34</v>
      </c>
      <c r="J107" s="829">
        <f>IF((I107*I260)&lt;449550,449550,I107*I260)</f>
        <v>449550</v>
      </c>
      <c r="K107" s="836"/>
      <c r="L107" s="829">
        <f>J107*5/100</f>
        <v>22477.5</v>
      </c>
      <c r="M107" s="830">
        <f>J107+K107+L107</f>
        <v>472027.5</v>
      </c>
      <c r="N107" s="829">
        <v>1</v>
      </c>
      <c r="O107" s="834" t="s">
        <v>1266</v>
      </c>
      <c r="P107" s="835">
        <v>5.34</v>
      </c>
      <c r="Q107" s="829">
        <f>IF((P107*83200)&lt;449550,449550,P107*83200)</f>
        <v>449550</v>
      </c>
      <c r="R107" s="836"/>
      <c r="S107" s="830">
        <f>Q107*5/100</f>
        <v>22477.5</v>
      </c>
      <c r="T107" s="830">
        <f t="shared" si="39"/>
        <v>472027.5</v>
      </c>
      <c r="U107" s="831">
        <f t="shared" si="40"/>
        <v>0</v>
      </c>
      <c r="V107" s="830">
        <f t="shared" si="41"/>
        <v>0</v>
      </c>
      <c r="W107" s="831">
        <f t="shared" si="41"/>
        <v>0</v>
      </c>
      <c r="X107" s="830">
        <f t="shared" si="41"/>
        <v>0</v>
      </c>
      <c r="Y107" s="830">
        <f t="shared" si="41"/>
        <v>0</v>
      </c>
      <c r="Z107" s="829">
        <v>1</v>
      </c>
      <c r="AA107" s="834" t="s">
        <v>1267</v>
      </c>
      <c r="AB107" s="835">
        <v>5.34</v>
      </c>
      <c r="AC107" s="829">
        <f>IF((AB107*I260)&lt;449550,449550,AB107*I260)</f>
        <v>449550</v>
      </c>
      <c r="AD107" s="836"/>
      <c r="AE107" s="830">
        <f>AC107*5/100</f>
        <v>22477.5</v>
      </c>
      <c r="AF107" s="830">
        <f>AC107+AD107+AE107</f>
        <v>472027.5</v>
      </c>
      <c r="AG107" s="829">
        <v>1</v>
      </c>
      <c r="AH107" s="834" t="s">
        <v>1268</v>
      </c>
      <c r="AI107" s="835">
        <v>5.34</v>
      </c>
      <c r="AJ107" s="829">
        <f>IF((AI107*I260)&lt;449550,449550,AI107*I260)</f>
        <v>449550</v>
      </c>
      <c r="AK107" s="836"/>
      <c r="AL107" s="830">
        <f>AJ107*5/100</f>
        <v>22477.5</v>
      </c>
      <c r="AM107" s="830">
        <f>AJ107+AK107+AL107</f>
        <v>472027.5</v>
      </c>
    </row>
    <row r="108" spans="1:39" ht="18" customHeight="1">
      <c r="A108" s="826">
        <v>62</v>
      </c>
      <c r="B108" s="720" t="s">
        <v>731</v>
      </c>
      <c r="C108" s="790" t="s">
        <v>703</v>
      </c>
      <c r="D108" s="719">
        <v>1973</v>
      </c>
      <c r="E108" s="799" t="s">
        <v>788</v>
      </c>
      <c r="F108" s="827" t="s">
        <v>1269</v>
      </c>
      <c r="G108" s="719">
        <v>1</v>
      </c>
      <c r="H108" s="791" t="s">
        <v>1270</v>
      </c>
      <c r="I108" s="795">
        <v>5.34</v>
      </c>
      <c r="J108" s="790">
        <f>I108*I260</f>
        <v>444288</v>
      </c>
      <c r="K108" s="797"/>
      <c r="L108" s="790"/>
      <c r="M108" s="790">
        <f>J108+K108+L108</f>
        <v>444288</v>
      </c>
      <c r="N108" s="790">
        <v>1</v>
      </c>
      <c r="O108" s="832" t="s">
        <v>1271</v>
      </c>
      <c r="P108" s="795">
        <v>5.34</v>
      </c>
      <c r="Q108" s="790">
        <f>P108*83200</f>
        <v>444288</v>
      </c>
      <c r="R108" s="797"/>
      <c r="S108" s="790"/>
      <c r="T108" s="790">
        <f t="shared" si="39"/>
        <v>444288</v>
      </c>
      <c r="U108" s="718">
        <f t="shared" si="40"/>
        <v>0</v>
      </c>
      <c r="V108" s="719">
        <f t="shared" si="41"/>
        <v>0</v>
      </c>
      <c r="W108" s="718">
        <f t="shared" si="41"/>
        <v>0</v>
      </c>
      <c r="X108" s="719">
        <f t="shared" si="41"/>
        <v>0</v>
      </c>
      <c r="Y108" s="719">
        <f t="shared" si="41"/>
        <v>0</v>
      </c>
      <c r="Z108" s="790">
        <v>1</v>
      </c>
      <c r="AA108" s="791" t="s">
        <v>1272</v>
      </c>
      <c r="AB108" s="795">
        <v>5.34</v>
      </c>
      <c r="AC108" s="790">
        <f>AB108*I260</f>
        <v>444288</v>
      </c>
      <c r="AD108" s="790"/>
      <c r="AE108" s="790"/>
      <c r="AF108" s="790">
        <f>+AC108+AD108</f>
        <v>444288</v>
      </c>
      <c r="AG108" s="790">
        <v>1</v>
      </c>
      <c r="AH108" s="791" t="s">
        <v>1273</v>
      </c>
      <c r="AI108" s="795">
        <v>5.34</v>
      </c>
      <c r="AJ108" s="790">
        <f>AI108*I260</f>
        <v>444288</v>
      </c>
      <c r="AK108" s="797"/>
      <c r="AL108" s="797"/>
      <c r="AM108" s="790">
        <f>AJ108+AK108</f>
        <v>444288</v>
      </c>
    </row>
    <row r="109" spans="1:39" s="837" customFormat="1" ht="18" customHeight="1">
      <c r="A109" s="853">
        <v>63</v>
      </c>
      <c r="B109" s="828" t="s">
        <v>714</v>
      </c>
      <c r="C109" s="829" t="s">
        <v>697</v>
      </c>
      <c r="D109" s="830">
        <v>1973</v>
      </c>
      <c r="E109" s="831" t="s">
        <v>790</v>
      </c>
      <c r="F109" s="827" t="s">
        <v>1274</v>
      </c>
      <c r="G109" s="830">
        <v>1</v>
      </c>
      <c r="H109" s="834" t="s">
        <v>1275</v>
      </c>
      <c r="I109" s="835">
        <v>4.27</v>
      </c>
      <c r="J109" s="829">
        <f>IF((I109*I260)&lt;385170,385170,I109*I260)</f>
        <v>385170</v>
      </c>
      <c r="K109" s="836"/>
      <c r="L109" s="829">
        <f>J109*5/100</f>
        <v>19258.5</v>
      </c>
      <c r="M109" s="830">
        <f>SUM(J109:L109)</f>
        <v>404428.5</v>
      </c>
      <c r="N109" s="830">
        <v>1</v>
      </c>
      <c r="O109" s="834" t="s">
        <v>1276</v>
      </c>
      <c r="P109" s="835">
        <v>4.27</v>
      </c>
      <c r="Q109" s="829">
        <f>IF((P109*83200)&lt;385170,385170,P109*83200)</f>
        <v>385170</v>
      </c>
      <c r="R109" s="836"/>
      <c r="S109" s="830">
        <f>Q109*5/100</f>
        <v>19258.5</v>
      </c>
      <c r="T109" s="830">
        <f t="shared" si="39"/>
        <v>404428.5</v>
      </c>
      <c r="U109" s="831">
        <f t="shared" si="40"/>
        <v>0</v>
      </c>
      <c r="V109" s="830">
        <f t="shared" si="41"/>
        <v>0</v>
      </c>
      <c r="W109" s="831">
        <f t="shared" si="41"/>
        <v>0</v>
      </c>
      <c r="X109" s="830">
        <f>X9</f>
        <v>0</v>
      </c>
      <c r="Y109" s="830">
        <f t="shared" si="41"/>
        <v>0</v>
      </c>
      <c r="Z109" s="830">
        <v>1</v>
      </c>
      <c r="AA109" s="834" t="s">
        <v>1277</v>
      </c>
      <c r="AB109" s="835">
        <v>4.4</v>
      </c>
      <c r="AC109" s="829">
        <f>IF((AB109*I260)&lt;385170,385170,AB109*I260)</f>
        <v>385170</v>
      </c>
      <c r="AD109" s="829"/>
      <c r="AE109" s="829">
        <f>AC109*5/100</f>
        <v>19258.5</v>
      </c>
      <c r="AF109" s="830">
        <f>SUM(AC109:AE109)</f>
        <v>404428.5</v>
      </c>
      <c r="AG109" s="830">
        <v>1</v>
      </c>
      <c r="AH109" s="834" t="s">
        <v>1278</v>
      </c>
      <c r="AI109" s="835">
        <v>4.4</v>
      </c>
      <c r="AJ109" s="829">
        <f>IF((AI109*I260)&lt;385170,385170,AI109*I260)</f>
        <v>385170</v>
      </c>
      <c r="AK109" s="829"/>
      <c r="AL109" s="829">
        <f>AJ109*5/100</f>
        <v>19258.5</v>
      </c>
      <c r="AM109" s="830">
        <f>SUM(AJ109:AL109)</f>
        <v>404428.5</v>
      </c>
    </row>
    <row r="110" spans="1:39" ht="18" customHeight="1">
      <c r="A110" s="826">
        <v>64</v>
      </c>
      <c r="B110" s="720" t="s">
        <v>1279</v>
      </c>
      <c r="C110" s="790" t="s">
        <v>697</v>
      </c>
      <c r="D110" s="719">
        <v>1994</v>
      </c>
      <c r="E110" s="718" t="s">
        <v>790</v>
      </c>
      <c r="F110" s="827" t="s">
        <v>1280</v>
      </c>
      <c r="G110" s="719">
        <v>1</v>
      </c>
      <c r="H110" s="791" t="s">
        <v>1185</v>
      </c>
      <c r="I110" s="795">
        <v>3.64</v>
      </c>
      <c r="J110" s="790">
        <f>I110*I260</f>
        <v>302848</v>
      </c>
      <c r="K110" s="797"/>
      <c r="L110" s="790"/>
      <c r="M110" s="790">
        <f>SUM(J110:L110)</f>
        <v>302848</v>
      </c>
      <c r="N110" s="719">
        <v>1</v>
      </c>
      <c r="O110" s="791" t="s">
        <v>1186</v>
      </c>
      <c r="P110" s="795">
        <v>3.53</v>
      </c>
      <c r="Q110" s="790">
        <f>P110*83200</f>
        <v>293696</v>
      </c>
      <c r="R110" s="797"/>
      <c r="S110" s="719"/>
      <c r="T110" s="790">
        <f t="shared" si="39"/>
        <v>293696</v>
      </c>
      <c r="U110" s="718">
        <f t="shared" si="40"/>
        <v>0</v>
      </c>
      <c r="V110" s="719">
        <f t="shared" si="41"/>
        <v>9152</v>
      </c>
      <c r="W110" s="718">
        <f t="shared" si="41"/>
        <v>0</v>
      </c>
      <c r="X110" s="719">
        <f t="shared" si="41"/>
        <v>0</v>
      </c>
      <c r="Y110" s="719">
        <f t="shared" si="41"/>
        <v>9152</v>
      </c>
      <c r="Z110" s="719">
        <v>1</v>
      </c>
      <c r="AA110" s="791" t="s">
        <v>1187</v>
      </c>
      <c r="AB110" s="795">
        <v>3.64</v>
      </c>
      <c r="AC110" s="790">
        <f>AB110*I260</f>
        <v>302848</v>
      </c>
      <c r="AD110" s="790"/>
      <c r="AE110" s="790"/>
      <c r="AF110" s="719">
        <f>SUM(AC110:AE110)</f>
        <v>302848</v>
      </c>
      <c r="AG110" s="719">
        <v>1</v>
      </c>
      <c r="AH110" s="791" t="s">
        <v>1188</v>
      </c>
      <c r="AI110" s="795">
        <v>3.76</v>
      </c>
      <c r="AJ110" s="790">
        <f>AI110*I260</f>
        <v>312832</v>
      </c>
      <c r="AK110" s="797"/>
      <c r="AL110" s="797"/>
      <c r="AM110" s="719">
        <f>SUM(AJ110:AL110)</f>
        <v>312832</v>
      </c>
    </row>
    <row r="111" spans="1:39" ht="18" customHeight="1">
      <c r="A111" s="853">
        <v>65</v>
      </c>
      <c r="B111" s="720" t="s">
        <v>1281</v>
      </c>
      <c r="C111" s="790" t="s">
        <v>697</v>
      </c>
      <c r="D111" s="719">
        <v>1980</v>
      </c>
      <c r="E111" s="718" t="s">
        <v>790</v>
      </c>
      <c r="F111" s="827" t="s">
        <v>1282</v>
      </c>
      <c r="G111" s="719">
        <v>1</v>
      </c>
      <c r="H111" s="791" t="s">
        <v>1283</v>
      </c>
      <c r="I111" s="795">
        <v>4.01</v>
      </c>
      <c r="J111" s="790">
        <f>I111*I260</f>
        <v>333632</v>
      </c>
      <c r="K111" s="797"/>
      <c r="L111" s="719">
        <f>J111*5/100</f>
        <v>16681.6</v>
      </c>
      <c r="M111" s="719">
        <f aca="true" t="shared" si="42" ref="M111:M121">J111+K111+L111</f>
        <v>350313.6</v>
      </c>
      <c r="N111" s="719">
        <v>1</v>
      </c>
      <c r="O111" s="791" t="s">
        <v>1284</v>
      </c>
      <c r="P111" s="795">
        <v>4.01</v>
      </c>
      <c r="Q111" s="790">
        <f>P111*83200</f>
        <v>333632</v>
      </c>
      <c r="R111" s="797"/>
      <c r="S111" s="719">
        <f>Q111*5/100</f>
        <v>16681.6</v>
      </c>
      <c r="T111" s="719">
        <f t="shared" si="39"/>
        <v>350313.6</v>
      </c>
      <c r="U111" s="718">
        <f t="shared" si="40"/>
        <v>0</v>
      </c>
      <c r="V111" s="719">
        <f t="shared" si="41"/>
        <v>0</v>
      </c>
      <c r="W111" s="718">
        <f t="shared" si="41"/>
        <v>0</v>
      </c>
      <c r="X111" s="719">
        <f t="shared" si="41"/>
        <v>0</v>
      </c>
      <c r="Y111" s="719">
        <f t="shared" si="41"/>
        <v>0</v>
      </c>
      <c r="Z111" s="719">
        <v>1</v>
      </c>
      <c r="AA111" s="791" t="s">
        <v>1250</v>
      </c>
      <c r="AB111" s="795">
        <v>4.01</v>
      </c>
      <c r="AC111" s="790">
        <f>AB111*I260</f>
        <v>333632</v>
      </c>
      <c r="AD111" s="797"/>
      <c r="AE111" s="790">
        <f>AC111*5/100</f>
        <v>16681.6</v>
      </c>
      <c r="AF111" s="719">
        <f>AC111+AD111+AE111</f>
        <v>350313.6</v>
      </c>
      <c r="AG111" s="719">
        <v>1</v>
      </c>
      <c r="AH111" s="791" t="s">
        <v>1249</v>
      </c>
      <c r="AI111" s="795">
        <v>4.13</v>
      </c>
      <c r="AJ111" s="790">
        <f>AI111*I260</f>
        <v>343616</v>
      </c>
      <c r="AK111" s="797"/>
      <c r="AL111" s="790">
        <f>AJ111*5/100</f>
        <v>17180.8</v>
      </c>
      <c r="AM111" s="719">
        <f>AJ111+AK111+AL111</f>
        <v>360796.8</v>
      </c>
    </row>
    <row r="112" spans="1:39" s="837" customFormat="1" ht="18" customHeight="1">
      <c r="A112" s="826">
        <v>66</v>
      </c>
      <c r="B112" s="828" t="s">
        <v>1285</v>
      </c>
      <c r="C112" s="829" t="s">
        <v>697</v>
      </c>
      <c r="D112" s="830">
        <v>1966</v>
      </c>
      <c r="E112" s="831" t="s">
        <v>790</v>
      </c>
      <c r="F112" s="827" t="s">
        <v>1286</v>
      </c>
      <c r="G112" s="830">
        <v>1</v>
      </c>
      <c r="H112" s="834">
        <v>24</v>
      </c>
      <c r="I112" s="835">
        <v>4.4</v>
      </c>
      <c r="J112" s="829">
        <f>IF((I112*I260)&lt;404040,404040,I112*I260)</f>
        <v>404040</v>
      </c>
      <c r="K112" s="836"/>
      <c r="L112" s="829">
        <f>J112*5/100</f>
        <v>20202</v>
      </c>
      <c r="M112" s="829">
        <f t="shared" si="42"/>
        <v>424242</v>
      </c>
      <c r="N112" s="829">
        <v>1</v>
      </c>
      <c r="O112" s="834" t="s">
        <v>1287</v>
      </c>
      <c r="P112" s="835">
        <v>4.4</v>
      </c>
      <c r="Q112" s="829">
        <f>IF((P112*83200)&lt;404040,404040,P112*83200)</f>
        <v>404040</v>
      </c>
      <c r="R112" s="836"/>
      <c r="S112" s="830">
        <f>Q112*5/100</f>
        <v>20202</v>
      </c>
      <c r="T112" s="829">
        <f t="shared" si="39"/>
        <v>424242</v>
      </c>
      <c r="U112" s="831">
        <f t="shared" si="40"/>
        <v>0</v>
      </c>
      <c r="V112" s="830">
        <f t="shared" si="41"/>
        <v>0</v>
      </c>
      <c r="W112" s="831">
        <f t="shared" si="41"/>
        <v>0</v>
      </c>
      <c r="X112" s="830">
        <f t="shared" si="41"/>
        <v>0</v>
      </c>
      <c r="Y112" s="830">
        <f t="shared" si="41"/>
        <v>0</v>
      </c>
      <c r="Z112" s="829">
        <v>1</v>
      </c>
      <c r="AA112" s="834">
        <v>25</v>
      </c>
      <c r="AB112" s="835">
        <v>4.4</v>
      </c>
      <c r="AC112" s="829">
        <f>IF((AB112*I260)&lt;404040,404040,AB112*I260)</f>
        <v>404040</v>
      </c>
      <c r="AD112" s="836"/>
      <c r="AE112" s="830">
        <f>AC112*5/100</f>
        <v>20202</v>
      </c>
      <c r="AF112" s="829">
        <f>AC112+AD112+AE112</f>
        <v>424242</v>
      </c>
      <c r="AG112" s="829">
        <v>1</v>
      </c>
      <c r="AH112" s="834">
        <v>26</v>
      </c>
      <c r="AI112" s="835">
        <v>4.4</v>
      </c>
      <c r="AJ112" s="829">
        <f>IF((AI112*I260)&lt;404040,404040,AI112*I260)</f>
        <v>404040</v>
      </c>
      <c r="AK112" s="836"/>
      <c r="AL112" s="830">
        <f>AJ112*5/100</f>
        <v>20202</v>
      </c>
      <c r="AM112" s="829">
        <f>AJ112+AK112+AL112</f>
        <v>424242</v>
      </c>
    </row>
    <row r="113" spans="1:39" ht="18" customHeight="1">
      <c r="A113" s="853">
        <v>67</v>
      </c>
      <c r="B113" s="720" t="s">
        <v>733</v>
      </c>
      <c r="C113" s="790" t="s">
        <v>703</v>
      </c>
      <c r="D113" s="719">
        <v>1990</v>
      </c>
      <c r="E113" s="718" t="s">
        <v>790</v>
      </c>
      <c r="F113" s="827" t="s">
        <v>1288</v>
      </c>
      <c r="G113" s="719">
        <v>1</v>
      </c>
      <c r="H113" s="791" t="s">
        <v>1289</v>
      </c>
      <c r="I113" s="795">
        <v>3.88</v>
      </c>
      <c r="J113" s="790">
        <f>I113*I260</f>
        <v>322816</v>
      </c>
      <c r="K113" s="797"/>
      <c r="L113" s="790"/>
      <c r="M113" s="790">
        <f t="shared" si="42"/>
        <v>322816</v>
      </c>
      <c r="N113" s="790">
        <v>1</v>
      </c>
      <c r="O113" s="791" t="s">
        <v>1290</v>
      </c>
      <c r="P113" s="795">
        <v>3.76</v>
      </c>
      <c r="Q113" s="790">
        <f>P113*83200</f>
        <v>312832</v>
      </c>
      <c r="R113" s="797"/>
      <c r="S113" s="790"/>
      <c r="T113" s="790">
        <f t="shared" si="39"/>
        <v>312832</v>
      </c>
      <c r="U113" s="718">
        <f t="shared" si="40"/>
        <v>0</v>
      </c>
      <c r="V113" s="719">
        <f t="shared" si="41"/>
        <v>9984</v>
      </c>
      <c r="W113" s="718">
        <f t="shared" si="41"/>
        <v>0</v>
      </c>
      <c r="X113" s="719">
        <f t="shared" si="41"/>
        <v>0</v>
      </c>
      <c r="Y113" s="719">
        <f t="shared" si="41"/>
        <v>9984</v>
      </c>
      <c r="Z113" s="790">
        <v>1</v>
      </c>
      <c r="AA113" s="791" t="s">
        <v>1291</v>
      </c>
      <c r="AB113" s="795">
        <v>3.88</v>
      </c>
      <c r="AC113" s="790">
        <f>AB113*I260</f>
        <v>322816</v>
      </c>
      <c r="AD113" s="790"/>
      <c r="AE113" s="790"/>
      <c r="AF113" s="790">
        <f>+AC113+AD113</f>
        <v>322816</v>
      </c>
      <c r="AG113" s="790">
        <v>1</v>
      </c>
      <c r="AH113" s="791" t="s">
        <v>1292</v>
      </c>
      <c r="AI113" s="795">
        <v>4.01</v>
      </c>
      <c r="AJ113" s="790">
        <f>AI113*I260</f>
        <v>333632</v>
      </c>
      <c r="AK113" s="797"/>
      <c r="AL113" s="797"/>
      <c r="AM113" s="790">
        <f>AJ113+AK113</f>
        <v>333632</v>
      </c>
    </row>
    <row r="114" spans="1:39" ht="18" customHeight="1">
      <c r="A114" s="826">
        <v>68</v>
      </c>
      <c r="B114" s="720" t="s">
        <v>729</v>
      </c>
      <c r="C114" s="790" t="s">
        <v>697</v>
      </c>
      <c r="D114" s="719">
        <v>1980</v>
      </c>
      <c r="E114" s="718" t="s">
        <v>790</v>
      </c>
      <c r="F114" s="827" t="s">
        <v>1293</v>
      </c>
      <c r="G114" s="719">
        <v>1</v>
      </c>
      <c r="H114" s="791" t="s">
        <v>1294</v>
      </c>
      <c r="I114" s="795">
        <v>3.64</v>
      </c>
      <c r="J114" s="790">
        <f>I114*I260</f>
        <v>302848</v>
      </c>
      <c r="K114" s="797"/>
      <c r="L114" s="790"/>
      <c r="M114" s="790">
        <f t="shared" si="42"/>
        <v>302848</v>
      </c>
      <c r="N114" s="790">
        <v>1</v>
      </c>
      <c r="O114" s="791" t="s">
        <v>1295</v>
      </c>
      <c r="P114" s="795">
        <v>3.64</v>
      </c>
      <c r="Q114" s="790">
        <f>P114*83200</f>
        <v>302848</v>
      </c>
      <c r="R114" s="797"/>
      <c r="S114" s="790"/>
      <c r="T114" s="790">
        <f t="shared" si="39"/>
        <v>302848</v>
      </c>
      <c r="U114" s="718">
        <f t="shared" si="40"/>
        <v>0</v>
      </c>
      <c r="V114" s="719">
        <f t="shared" si="41"/>
        <v>0</v>
      </c>
      <c r="W114" s="718">
        <f t="shared" si="41"/>
        <v>0</v>
      </c>
      <c r="X114" s="719">
        <f t="shared" si="41"/>
        <v>0</v>
      </c>
      <c r="Y114" s="719">
        <f t="shared" si="41"/>
        <v>0</v>
      </c>
      <c r="Z114" s="790">
        <v>1</v>
      </c>
      <c r="AA114" s="791" t="s">
        <v>1296</v>
      </c>
      <c r="AB114" s="795">
        <v>3.76</v>
      </c>
      <c r="AC114" s="790">
        <f>AB114*I260</f>
        <v>312832</v>
      </c>
      <c r="AD114" s="797"/>
      <c r="AE114" s="790"/>
      <c r="AF114" s="790">
        <f>AC114+AD114+AE114</f>
        <v>312832</v>
      </c>
      <c r="AG114" s="790">
        <v>1</v>
      </c>
      <c r="AH114" s="791" t="s">
        <v>1297</v>
      </c>
      <c r="AI114" s="795">
        <v>3.76</v>
      </c>
      <c r="AJ114" s="790">
        <f>AI114*I260</f>
        <v>312832</v>
      </c>
      <c r="AK114" s="797"/>
      <c r="AL114" s="790"/>
      <c r="AM114" s="790">
        <f>AJ114+AK114+AL114</f>
        <v>312832</v>
      </c>
    </row>
    <row r="115" spans="1:39" ht="18" customHeight="1">
      <c r="A115" s="853">
        <v>69</v>
      </c>
      <c r="B115" s="720" t="s">
        <v>715</v>
      </c>
      <c r="C115" s="790" t="s">
        <v>697</v>
      </c>
      <c r="D115" s="719">
        <v>1984</v>
      </c>
      <c r="E115" s="718" t="s">
        <v>790</v>
      </c>
      <c r="F115" s="827" t="s">
        <v>1298</v>
      </c>
      <c r="G115" s="719">
        <v>1</v>
      </c>
      <c r="H115" s="791" t="s">
        <v>1283</v>
      </c>
      <c r="I115" s="795">
        <v>4.01</v>
      </c>
      <c r="J115" s="790">
        <f>I115*I260</f>
        <v>333632</v>
      </c>
      <c r="K115" s="797"/>
      <c r="L115" s="719">
        <f>J115*5/100</f>
        <v>16681.6</v>
      </c>
      <c r="M115" s="719">
        <f t="shared" si="42"/>
        <v>350313.6</v>
      </c>
      <c r="N115" s="719">
        <v>1</v>
      </c>
      <c r="O115" s="791" t="s">
        <v>1284</v>
      </c>
      <c r="P115" s="795">
        <v>4.01</v>
      </c>
      <c r="Q115" s="790">
        <f>P115*83200</f>
        <v>333632</v>
      </c>
      <c r="R115" s="797"/>
      <c r="S115" s="719">
        <f>Q115*5/100</f>
        <v>16681.6</v>
      </c>
      <c r="T115" s="719">
        <f t="shared" si="39"/>
        <v>350313.6</v>
      </c>
      <c r="U115" s="718">
        <f t="shared" si="40"/>
        <v>0</v>
      </c>
      <c r="V115" s="719">
        <f t="shared" si="41"/>
        <v>0</v>
      </c>
      <c r="W115" s="718">
        <f t="shared" si="41"/>
        <v>0</v>
      </c>
      <c r="X115" s="719">
        <f t="shared" si="41"/>
        <v>0</v>
      </c>
      <c r="Y115" s="719">
        <f t="shared" si="41"/>
        <v>0</v>
      </c>
      <c r="Z115" s="719">
        <v>1</v>
      </c>
      <c r="AA115" s="791" t="s">
        <v>1250</v>
      </c>
      <c r="AB115" s="795">
        <v>4.01</v>
      </c>
      <c r="AC115" s="790">
        <f>AB115*I260</f>
        <v>333632</v>
      </c>
      <c r="AD115" s="797"/>
      <c r="AE115" s="790">
        <f>AC115*5/100</f>
        <v>16681.6</v>
      </c>
      <c r="AF115" s="719">
        <f>AC115+AD115+AE115</f>
        <v>350313.6</v>
      </c>
      <c r="AG115" s="719">
        <v>1</v>
      </c>
      <c r="AH115" s="791" t="s">
        <v>1249</v>
      </c>
      <c r="AI115" s="795">
        <v>4.13</v>
      </c>
      <c r="AJ115" s="790">
        <f>AI115*I260</f>
        <v>343616</v>
      </c>
      <c r="AK115" s="797"/>
      <c r="AL115" s="790">
        <f>AJ115*5/100</f>
        <v>17180.8</v>
      </c>
      <c r="AM115" s="719">
        <f>AJ115+AK115+AL115</f>
        <v>360796.8</v>
      </c>
    </row>
    <row r="116" spans="1:39" s="837" customFormat="1" ht="18" customHeight="1">
      <c r="A116" s="826">
        <v>70</v>
      </c>
      <c r="B116" s="828" t="s">
        <v>732</v>
      </c>
      <c r="C116" s="829" t="s">
        <v>697</v>
      </c>
      <c r="D116" s="830">
        <v>1965</v>
      </c>
      <c r="E116" s="831" t="s">
        <v>790</v>
      </c>
      <c r="F116" s="827" t="s">
        <v>1299</v>
      </c>
      <c r="G116" s="830">
        <v>1</v>
      </c>
      <c r="H116" s="834" t="s">
        <v>1300</v>
      </c>
      <c r="I116" s="835">
        <v>4.4</v>
      </c>
      <c r="J116" s="829">
        <f>IF((I116*I260)&lt;395160,395160,I116*I260)</f>
        <v>395160</v>
      </c>
      <c r="K116" s="836"/>
      <c r="L116" s="829">
        <f>J116*5/100</f>
        <v>19758</v>
      </c>
      <c r="M116" s="829">
        <f t="shared" si="42"/>
        <v>414918</v>
      </c>
      <c r="N116" s="829">
        <v>1</v>
      </c>
      <c r="O116" s="834" t="s">
        <v>1301</v>
      </c>
      <c r="P116" s="835">
        <v>4.4</v>
      </c>
      <c r="Q116" s="829">
        <f>IF((P116*83200)&lt;395160,395160,P116*83200)</f>
        <v>395160</v>
      </c>
      <c r="R116" s="836"/>
      <c r="S116" s="830">
        <f>Q116*5/100</f>
        <v>19758</v>
      </c>
      <c r="T116" s="830">
        <f t="shared" si="39"/>
        <v>414918</v>
      </c>
      <c r="U116" s="831">
        <f t="shared" si="40"/>
        <v>0</v>
      </c>
      <c r="V116" s="830">
        <f t="shared" si="41"/>
        <v>0</v>
      </c>
      <c r="W116" s="831">
        <f t="shared" si="41"/>
        <v>0</v>
      </c>
      <c r="X116" s="830">
        <f t="shared" si="41"/>
        <v>0</v>
      </c>
      <c r="Y116" s="830">
        <f t="shared" si="41"/>
        <v>0</v>
      </c>
      <c r="Z116" s="829">
        <v>1</v>
      </c>
      <c r="AA116" s="834" t="s">
        <v>1302</v>
      </c>
      <c r="AB116" s="835">
        <v>4.4</v>
      </c>
      <c r="AC116" s="829">
        <f>IF((AB116*I260)&lt;395160,395160,AB116*I260)</f>
        <v>395160</v>
      </c>
      <c r="AD116" s="829"/>
      <c r="AE116" s="829">
        <f>AC116*5/100</f>
        <v>19758</v>
      </c>
      <c r="AF116" s="829">
        <f>SUM(AC116:AE116)</f>
        <v>414918</v>
      </c>
      <c r="AG116" s="829">
        <v>1</v>
      </c>
      <c r="AH116" s="834" t="s">
        <v>1303</v>
      </c>
      <c r="AI116" s="835">
        <v>4.4</v>
      </c>
      <c r="AJ116" s="829">
        <f>IF((AI116*I260)&lt;395160,395160,AI116*I260)</f>
        <v>395160</v>
      </c>
      <c r="AK116" s="829"/>
      <c r="AL116" s="829">
        <f>AJ116*5/100</f>
        <v>19758</v>
      </c>
      <c r="AM116" s="829">
        <f>SUM(AJ116:AL116)</f>
        <v>414918</v>
      </c>
    </row>
    <row r="117" spans="1:39" s="740" customFormat="1" ht="18" customHeight="1">
      <c r="A117" s="853">
        <v>71</v>
      </c>
      <c r="B117" s="717"/>
      <c r="C117" s="792"/>
      <c r="D117" s="814"/>
      <c r="E117" s="718" t="s">
        <v>790</v>
      </c>
      <c r="F117" s="827" t="s">
        <v>1304</v>
      </c>
      <c r="G117" s="719">
        <v>1</v>
      </c>
      <c r="H117" s="791">
        <v>1</v>
      </c>
      <c r="I117" s="795">
        <v>3.76</v>
      </c>
      <c r="J117" s="790">
        <f>I117*I260</f>
        <v>312832</v>
      </c>
      <c r="K117" s="797"/>
      <c r="L117" s="790"/>
      <c r="M117" s="790">
        <f t="shared" si="42"/>
        <v>312832</v>
      </c>
      <c r="N117" s="790">
        <v>1</v>
      </c>
      <c r="O117" s="791">
        <v>0</v>
      </c>
      <c r="P117" s="795">
        <v>3.76</v>
      </c>
      <c r="Q117" s="790">
        <f>P117*83200</f>
        <v>312832</v>
      </c>
      <c r="R117" s="797"/>
      <c r="S117" s="790"/>
      <c r="T117" s="790">
        <f t="shared" si="39"/>
        <v>312832</v>
      </c>
      <c r="U117" s="718">
        <f t="shared" si="40"/>
        <v>0</v>
      </c>
      <c r="V117" s="719">
        <f t="shared" si="41"/>
        <v>0</v>
      </c>
      <c r="W117" s="718">
        <f t="shared" si="41"/>
        <v>0</v>
      </c>
      <c r="X117" s="719">
        <f t="shared" si="41"/>
        <v>0</v>
      </c>
      <c r="Y117" s="719">
        <f t="shared" si="41"/>
        <v>0</v>
      </c>
      <c r="Z117" s="790">
        <v>1</v>
      </c>
      <c r="AA117" s="791">
        <v>2</v>
      </c>
      <c r="AB117" s="795">
        <v>3.76</v>
      </c>
      <c r="AC117" s="790">
        <f>AB117*I260</f>
        <v>312832</v>
      </c>
      <c r="AD117" s="797"/>
      <c r="AE117" s="790"/>
      <c r="AF117" s="790">
        <f>AC117+AD117+AE117</f>
        <v>312832</v>
      </c>
      <c r="AG117" s="790">
        <v>1</v>
      </c>
      <c r="AH117" s="791">
        <v>3</v>
      </c>
      <c r="AI117" s="795">
        <v>3.76</v>
      </c>
      <c r="AJ117" s="790">
        <f>AI117*I260</f>
        <v>312832</v>
      </c>
      <c r="AK117" s="797"/>
      <c r="AL117" s="790"/>
      <c r="AM117" s="790">
        <f>AJ117+AK117+AL117</f>
        <v>312832</v>
      </c>
    </row>
    <row r="118" spans="1:39" s="740" customFormat="1" ht="18" customHeight="1">
      <c r="A118" s="826">
        <v>72</v>
      </c>
      <c r="B118" s="717"/>
      <c r="C118" s="792"/>
      <c r="D118" s="814"/>
      <c r="E118" s="718" t="s">
        <v>790</v>
      </c>
      <c r="F118" s="827" t="s">
        <v>1305</v>
      </c>
      <c r="G118" s="719">
        <v>1</v>
      </c>
      <c r="H118" s="791">
        <v>1</v>
      </c>
      <c r="I118" s="795">
        <v>3.76</v>
      </c>
      <c r="J118" s="719">
        <f>I118*I260</f>
        <v>312832</v>
      </c>
      <c r="K118" s="797"/>
      <c r="L118" s="790"/>
      <c r="M118" s="719">
        <f t="shared" si="42"/>
        <v>312832</v>
      </c>
      <c r="N118" s="790">
        <v>1</v>
      </c>
      <c r="O118" s="791">
        <v>0</v>
      </c>
      <c r="P118" s="795">
        <v>3.76</v>
      </c>
      <c r="Q118" s="790">
        <f>P118*83200</f>
        <v>312832</v>
      </c>
      <c r="R118" s="797"/>
      <c r="S118" s="790"/>
      <c r="T118" s="790">
        <f t="shared" si="39"/>
        <v>312832</v>
      </c>
      <c r="U118" s="718">
        <f t="shared" si="40"/>
        <v>0</v>
      </c>
      <c r="V118" s="719">
        <f t="shared" si="41"/>
        <v>0</v>
      </c>
      <c r="W118" s="718">
        <f t="shared" si="41"/>
        <v>0</v>
      </c>
      <c r="X118" s="719">
        <f t="shared" si="41"/>
        <v>0</v>
      </c>
      <c r="Y118" s="719">
        <f t="shared" si="41"/>
        <v>0</v>
      </c>
      <c r="Z118" s="790">
        <v>1</v>
      </c>
      <c r="AA118" s="791">
        <v>2</v>
      </c>
      <c r="AB118" s="795">
        <v>3.76</v>
      </c>
      <c r="AC118" s="790">
        <f>AB118*I260</f>
        <v>312832</v>
      </c>
      <c r="AD118" s="797"/>
      <c r="AE118" s="790"/>
      <c r="AF118" s="790">
        <f>AC118+AD118+AE118</f>
        <v>312832</v>
      </c>
      <c r="AG118" s="790">
        <v>1</v>
      </c>
      <c r="AH118" s="791">
        <v>3</v>
      </c>
      <c r="AI118" s="795">
        <v>3.76</v>
      </c>
      <c r="AJ118" s="790">
        <f>AI118*I260</f>
        <v>312832</v>
      </c>
      <c r="AK118" s="797"/>
      <c r="AL118" s="790"/>
      <c r="AM118" s="790">
        <f>AJ118+AK118+AL118</f>
        <v>312832</v>
      </c>
    </row>
    <row r="119" spans="1:39" ht="18" customHeight="1">
      <c r="A119" s="853">
        <v>73</v>
      </c>
      <c r="B119" s="720"/>
      <c r="C119" s="790"/>
      <c r="D119" s="719"/>
      <c r="E119" s="718" t="s">
        <v>790</v>
      </c>
      <c r="F119" s="827" t="s">
        <v>1306</v>
      </c>
      <c r="G119" s="719">
        <v>1</v>
      </c>
      <c r="H119" s="791">
        <v>1</v>
      </c>
      <c r="I119" s="795">
        <v>3.76</v>
      </c>
      <c r="J119" s="790">
        <f>I119*I260</f>
        <v>312832</v>
      </c>
      <c r="K119" s="797"/>
      <c r="L119" s="790"/>
      <c r="M119" s="790">
        <f t="shared" si="42"/>
        <v>312832</v>
      </c>
      <c r="N119" s="790">
        <v>1</v>
      </c>
      <c r="O119" s="791">
        <v>0</v>
      </c>
      <c r="P119" s="795">
        <v>3.76</v>
      </c>
      <c r="Q119" s="790">
        <f>P119*83200</f>
        <v>312832</v>
      </c>
      <c r="R119" s="797"/>
      <c r="S119" s="719"/>
      <c r="T119" s="719">
        <f>Q119+R119+S119</f>
        <v>312832</v>
      </c>
      <c r="U119" s="718">
        <f t="shared" si="40"/>
        <v>0</v>
      </c>
      <c r="V119" s="719">
        <f t="shared" si="41"/>
        <v>0</v>
      </c>
      <c r="W119" s="718">
        <f t="shared" si="41"/>
        <v>0</v>
      </c>
      <c r="X119" s="719">
        <f t="shared" si="41"/>
        <v>0</v>
      </c>
      <c r="Y119" s="719">
        <f t="shared" si="41"/>
        <v>0</v>
      </c>
      <c r="Z119" s="790">
        <v>1</v>
      </c>
      <c r="AA119" s="791">
        <v>2</v>
      </c>
      <c r="AB119" s="795">
        <v>3.76</v>
      </c>
      <c r="AC119" s="790">
        <f>AB119*I260</f>
        <v>312832</v>
      </c>
      <c r="AD119" s="790"/>
      <c r="AE119" s="790"/>
      <c r="AF119" s="719">
        <f>SUM(AC119:AE119)</f>
        <v>312832</v>
      </c>
      <c r="AG119" s="790">
        <v>1</v>
      </c>
      <c r="AH119" s="791">
        <v>3</v>
      </c>
      <c r="AI119" s="795">
        <v>3.76</v>
      </c>
      <c r="AJ119" s="790">
        <f>AI119*I260</f>
        <v>312832</v>
      </c>
      <c r="AK119" s="797"/>
      <c r="AL119" s="790"/>
      <c r="AM119" s="719">
        <f>SUM(AJ119:AL119)</f>
        <v>312832</v>
      </c>
    </row>
    <row r="120" spans="1:39" s="740" customFormat="1" ht="18" customHeight="1">
      <c r="A120" s="826">
        <v>74</v>
      </c>
      <c r="B120" s="717"/>
      <c r="C120" s="792"/>
      <c r="D120" s="814"/>
      <c r="E120" s="718" t="s">
        <v>790</v>
      </c>
      <c r="F120" s="827" t="s">
        <v>1307</v>
      </c>
      <c r="G120" s="719">
        <v>1</v>
      </c>
      <c r="H120" s="791">
        <v>1</v>
      </c>
      <c r="I120" s="795">
        <v>3.76</v>
      </c>
      <c r="J120" s="790">
        <f>I120*I260</f>
        <v>312832</v>
      </c>
      <c r="K120" s="797"/>
      <c r="L120" s="790"/>
      <c r="M120" s="790">
        <f t="shared" si="42"/>
        <v>312832</v>
      </c>
      <c r="N120" s="790">
        <v>1</v>
      </c>
      <c r="O120" s="791">
        <v>0</v>
      </c>
      <c r="P120" s="795">
        <v>3.76</v>
      </c>
      <c r="Q120" s="790">
        <f>P120*83200</f>
        <v>312832</v>
      </c>
      <c r="R120" s="797"/>
      <c r="S120" s="790"/>
      <c r="T120" s="790">
        <f>Q120+R120+S120</f>
        <v>312832</v>
      </c>
      <c r="U120" s="718">
        <f t="shared" si="40"/>
        <v>0</v>
      </c>
      <c r="V120" s="719">
        <f t="shared" si="41"/>
        <v>0</v>
      </c>
      <c r="W120" s="718">
        <f t="shared" si="41"/>
        <v>0</v>
      </c>
      <c r="X120" s="719">
        <f t="shared" si="41"/>
        <v>0</v>
      </c>
      <c r="Y120" s="719">
        <f t="shared" si="41"/>
        <v>0</v>
      </c>
      <c r="Z120" s="790">
        <v>1</v>
      </c>
      <c r="AA120" s="791">
        <v>2</v>
      </c>
      <c r="AB120" s="795">
        <v>3.76</v>
      </c>
      <c r="AC120" s="790">
        <f>AB120*I260</f>
        <v>312832</v>
      </c>
      <c r="AD120" s="790"/>
      <c r="AE120" s="790"/>
      <c r="AF120" s="790">
        <f>+AC120+AD120</f>
        <v>312832</v>
      </c>
      <c r="AG120" s="790">
        <v>1</v>
      </c>
      <c r="AH120" s="791">
        <v>3</v>
      </c>
      <c r="AI120" s="795">
        <v>3.76</v>
      </c>
      <c r="AJ120" s="790">
        <f>AI120*I260</f>
        <v>312832</v>
      </c>
      <c r="AK120" s="797"/>
      <c r="AL120" s="797"/>
      <c r="AM120" s="790">
        <f>AJ120+AK120</f>
        <v>312832</v>
      </c>
    </row>
    <row r="121" spans="1:39" s="740" customFormat="1" ht="18" customHeight="1">
      <c r="A121" s="853">
        <v>75</v>
      </c>
      <c r="B121" s="717"/>
      <c r="C121" s="792"/>
      <c r="D121" s="814"/>
      <c r="E121" s="718" t="s">
        <v>790</v>
      </c>
      <c r="F121" s="827" t="s">
        <v>1308</v>
      </c>
      <c r="G121" s="719">
        <v>1</v>
      </c>
      <c r="H121" s="791">
        <v>1</v>
      </c>
      <c r="I121" s="795">
        <v>3.76</v>
      </c>
      <c r="J121" s="790">
        <f>I121*I260</f>
        <v>312832</v>
      </c>
      <c r="K121" s="797"/>
      <c r="L121" s="790"/>
      <c r="M121" s="790">
        <f t="shared" si="42"/>
        <v>312832</v>
      </c>
      <c r="N121" s="790">
        <v>1</v>
      </c>
      <c r="O121" s="791">
        <v>0</v>
      </c>
      <c r="P121" s="795">
        <v>3.76</v>
      </c>
      <c r="Q121" s="790">
        <f>P121*83200</f>
        <v>312832</v>
      </c>
      <c r="R121" s="797"/>
      <c r="S121" s="790"/>
      <c r="T121" s="790">
        <f>Q121+R121+S121</f>
        <v>312832</v>
      </c>
      <c r="U121" s="718">
        <f t="shared" si="40"/>
        <v>0</v>
      </c>
      <c r="V121" s="719">
        <f t="shared" si="41"/>
        <v>0</v>
      </c>
      <c r="W121" s="718">
        <f t="shared" si="41"/>
        <v>0</v>
      </c>
      <c r="X121" s="719">
        <f t="shared" si="41"/>
        <v>0</v>
      </c>
      <c r="Y121" s="719">
        <f t="shared" si="41"/>
        <v>0</v>
      </c>
      <c r="Z121" s="790">
        <v>1</v>
      </c>
      <c r="AA121" s="791">
        <v>2</v>
      </c>
      <c r="AB121" s="795">
        <v>3.76</v>
      </c>
      <c r="AC121" s="790">
        <f>AB121*I260</f>
        <v>312832</v>
      </c>
      <c r="AD121" s="790"/>
      <c r="AE121" s="790"/>
      <c r="AF121" s="790">
        <f>+AC121+AD121</f>
        <v>312832</v>
      </c>
      <c r="AG121" s="790">
        <v>1</v>
      </c>
      <c r="AH121" s="791">
        <v>3</v>
      </c>
      <c r="AI121" s="795">
        <v>3.76</v>
      </c>
      <c r="AJ121" s="790">
        <f>AI121*I260</f>
        <v>312832</v>
      </c>
      <c r="AK121" s="797"/>
      <c r="AL121" s="797"/>
      <c r="AM121" s="790">
        <f>AJ121+AK121</f>
        <v>312832</v>
      </c>
    </row>
    <row r="122" spans="1:39" ht="18" customHeight="1">
      <c r="A122" s="818"/>
      <c r="B122" s="811" t="s">
        <v>132</v>
      </c>
      <c r="C122" s="790"/>
      <c r="D122" s="719"/>
      <c r="E122" s="718"/>
      <c r="F122" s="718"/>
      <c r="G122" s="814">
        <f>SUM(G106:G121)</f>
        <v>16</v>
      </c>
      <c r="H122" s="816" t="s">
        <v>1</v>
      </c>
      <c r="I122" s="814" t="s">
        <v>1</v>
      </c>
      <c r="J122" s="814">
        <f>SUM(J106:J121)</f>
        <v>5744832</v>
      </c>
      <c r="K122" s="814">
        <f>SUM(K106:K121)</f>
        <v>0</v>
      </c>
      <c r="L122" s="814">
        <f>SUM(L106:L121)</f>
        <v>115059.20000000001</v>
      </c>
      <c r="M122" s="814">
        <f>SUM(M106:M121)</f>
        <v>5859891.2</v>
      </c>
      <c r="N122" s="792">
        <f>SUM(N105:N121)</f>
        <v>16</v>
      </c>
      <c r="O122" s="816" t="s">
        <v>1</v>
      </c>
      <c r="P122" s="817" t="s">
        <v>1</v>
      </c>
      <c r="Q122" s="792">
        <f>SUM(Q106:Q121)</f>
        <v>5725696</v>
      </c>
      <c r="R122" s="813"/>
      <c r="S122" s="792">
        <f>SUM(S106:S121)</f>
        <v>115059.20000000001</v>
      </c>
      <c r="T122" s="792">
        <f>Q122+R122+S122</f>
        <v>5840755.2</v>
      </c>
      <c r="U122" s="815">
        <f>+G122-N122</f>
        <v>0</v>
      </c>
      <c r="V122" s="814">
        <f>J122-Q122</f>
        <v>19136</v>
      </c>
      <c r="W122" s="815">
        <f>K122-R122</f>
        <v>0</v>
      </c>
      <c r="X122" s="814">
        <f>L122-S122</f>
        <v>0</v>
      </c>
      <c r="Y122" s="814">
        <f>M122-T122</f>
        <v>19136</v>
      </c>
      <c r="Z122" s="792">
        <f>SUM(Z106:Z121)</f>
        <v>16</v>
      </c>
      <c r="AA122" s="816" t="s">
        <v>1</v>
      </c>
      <c r="AB122" s="792" t="s">
        <v>1</v>
      </c>
      <c r="AC122" s="792">
        <f>SUM(AC106:AC121)</f>
        <v>5754816</v>
      </c>
      <c r="AD122" s="792">
        <f>SUM(AD106:AD121)</f>
        <v>0</v>
      </c>
      <c r="AE122" s="792">
        <f>SUM(AE106:AE121)</f>
        <v>115059.20000000001</v>
      </c>
      <c r="AF122" s="792">
        <f>SUM(AF106:AF121)</f>
        <v>5869875.2</v>
      </c>
      <c r="AG122" s="792">
        <f>SUM(AG106:AG121)</f>
        <v>16</v>
      </c>
      <c r="AH122" s="816" t="s">
        <v>1</v>
      </c>
      <c r="AI122" s="792" t="s">
        <v>1</v>
      </c>
      <c r="AJ122" s="792">
        <f>SUM(AJ106:AJ121)</f>
        <v>5812224</v>
      </c>
      <c r="AK122" s="792">
        <f>SUM(AK106:AK121)</f>
        <v>0</v>
      </c>
      <c r="AL122" s="792">
        <f>SUM(AL106:AL121)</f>
        <v>116057.6</v>
      </c>
      <c r="AM122" s="814">
        <f>SUM(AM106:AM121)</f>
        <v>5928281.6</v>
      </c>
    </row>
    <row r="123" spans="1:39" ht="18" customHeight="1">
      <c r="A123" s="826"/>
      <c r="B123" s="717"/>
      <c r="C123" s="790"/>
      <c r="D123" s="719"/>
      <c r="E123" s="718"/>
      <c r="F123" s="718"/>
      <c r="G123" s="719"/>
      <c r="H123" s="791"/>
      <c r="I123" s="795"/>
      <c r="J123" s="790"/>
      <c r="K123" s="797"/>
      <c r="L123" s="790"/>
      <c r="M123" s="790"/>
      <c r="N123" s="790"/>
      <c r="O123" s="791"/>
      <c r="P123" s="795"/>
      <c r="Q123" s="790"/>
      <c r="R123" s="797"/>
      <c r="S123" s="790"/>
      <c r="T123" s="790"/>
      <c r="U123" s="797"/>
      <c r="V123" s="798"/>
      <c r="W123" s="797"/>
      <c r="X123" s="798"/>
      <c r="Y123" s="798"/>
      <c r="Z123" s="790"/>
      <c r="AA123" s="791"/>
      <c r="AB123" s="718"/>
      <c r="AC123" s="790"/>
      <c r="AD123" s="790"/>
      <c r="AE123" s="790"/>
      <c r="AF123" s="790"/>
      <c r="AG123" s="790"/>
      <c r="AH123" s="791"/>
      <c r="AI123" s="718"/>
      <c r="AJ123" s="797"/>
      <c r="AK123" s="797"/>
      <c r="AL123" s="797"/>
      <c r="AM123" s="797"/>
    </row>
    <row r="124" spans="1:37" s="825" customFormat="1" ht="18" customHeight="1">
      <c r="A124" s="818"/>
      <c r="B124" s="717" t="s">
        <v>131</v>
      </c>
      <c r="C124" s="792"/>
      <c r="D124" s="819"/>
      <c r="E124" s="717"/>
      <c r="F124" s="820"/>
      <c r="G124" s="819"/>
      <c r="H124" s="1135" t="s">
        <v>727</v>
      </c>
      <c r="I124" s="1136"/>
      <c r="J124" s="1136"/>
      <c r="K124" s="1136"/>
      <c r="L124" s="1136"/>
      <c r="M124" s="1136"/>
      <c r="N124" s="1137"/>
      <c r="O124" s="821"/>
      <c r="P124" s="822"/>
      <c r="Q124" s="818"/>
      <c r="R124" s="717"/>
      <c r="S124" s="818"/>
      <c r="T124" s="819"/>
      <c r="U124" s="717"/>
      <c r="V124" s="823"/>
      <c r="W124" s="717"/>
      <c r="X124" s="823"/>
      <c r="Y124" s="819"/>
      <c r="Z124" s="820"/>
      <c r="AA124" s="821"/>
      <c r="AB124" s="818"/>
      <c r="AC124" s="818"/>
      <c r="AD124" s="818"/>
      <c r="AE124" s="818"/>
      <c r="AF124" s="820"/>
      <c r="AG124" s="820"/>
      <c r="AH124" s="824"/>
      <c r="AI124" s="717"/>
      <c r="AJ124" s="717"/>
      <c r="AK124" s="717"/>
    </row>
    <row r="125" spans="1:39" ht="18" customHeight="1">
      <c r="A125" s="826"/>
      <c r="B125" s="720"/>
      <c r="C125" s="790"/>
      <c r="D125" s="719"/>
      <c r="E125" s="718"/>
      <c r="F125" s="718"/>
      <c r="G125" s="719"/>
      <c r="H125" s="791"/>
      <c r="I125" s="795"/>
      <c r="J125" s="790"/>
      <c r="K125" s="797"/>
      <c r="L125" s="790"/>
      <c r="M125" s="790"/>
      <c r="N125" s="790"/>
      <c r="O125" s="791"/>
      <c r="P125" s="795"/>
      <c r="Q125" s="790"/>
      <c r="R125" s="797"/>
      <c r="S125" s="790"/>
      <c r="T125" s="790"/>
      <c r="U125" s="797"/>
      <c r="V125" s="798"/>
      <c r="W125" s="797"/>
      <c r="X125" s="798"/>
      <c r="Y125" s="798"/>
      <c r="Z125" s="790"/>
      <c r="AA125" s="791"/>
      <c r="AB125" s="718"/>
      <c r="AC125" s="790"/>
      <c r="AD125" s="790"/>
      <c r="AE125" s="790"/>
      <c r="AF125" s="790"/>
      <c r="AG125" s="790"/>
      <c r="AH125" s="791"/>
      <c r="AI125" s="718"/>
      <c r="AJ125" s="797"/>
      <c r="AK125" s="797"/>
      <c r="AL125" s="797"/>
      <c r="AM125" s="797"/>
    </row>
    <row r="126" spans="1:39" ht="18" customHeight="1">
      <c r="A126" s="826">
        <v>76</v>
      </c>
      <c r="B126" s="720" t="s">
        <v>1309</v>
      </c>
      <c r="C126" s="790" t="s">
        <v>697</v>
      </c>
      <c r="D126" s="719">
        <v>1963</v>
      </c>
      <c r="E126" s="799" t="s">
        <v>789</v>
      </c>
      <c r="F126" s="827" t="s">
        <v>1310</v>
      </c>
      <c r="G126" s="719">
        <v>1</v>
      </c>
      <c r="H126" s="791" t="s">
        <v>1188</v>
      </c>
      <c r="I126" s="795">
        <v>5.52</v>
      </c>
      <c r="J126" s="790">
        <f>I126*I260</f>
        <v>459263.99999999994</v>
      </c>
      <c r="K126" s="797"/>
      <c r="L126" s="790"/>
      <c r="M126" s="790">
        <f aca="true" t="shared" si="43" ref="M126:M135">J126+K126+L126</f>
        <v>459263.99999999994</v>
      </c>
      <c r="N126" s="790">
        <v>1</v>
      </c>
      <c r="O126" s="791" t="s">
        <v>1187</v>
      </c>
      <c r="P126" s="795">
        <v>5.35</v>
      </c>
      <c r="Q126" s="790">
        <f>P126*83200</f>
        <v>445119.99999999994</v>
      </c>
      <c r="R126" s="797"/>
      <c r="S126" s="790"/>
      <c r="T126" s="790">
        <f aca="true" t="shared" si="44" ref="T126:T138">Q126+R126+S126</f>
        <v>445119.99999999994</v>
      </c>
      <c r="U126" s="718">
        <f aca="true" t="shared" si="45" ref="U126:U138">+G126-N126</f>
        <v>0</v>
      </c>
      <c r="V126" s="719">
        <f aca="true" t="shared" si="46" ref="V126:Y138">J126-Q126</f>
        <v>14144</v>
      </c>
      <c r="W126" s="718">
        <f t="shared" si="46"/>
        <v>0</v>
      </c>
      <c r="X126" s="719">
        <f t="shared" si="46"/>
        <v>0</v>
      </c>
      <c r="Y126" s="719">
        <f t="shared" si="46"/>
        <v>14144</v>
      </c>
      <c r="Z126" s="790">
        <v>1</v>
      </c>
      <c r="AA126" s="791" t="s">
        <v>1311</v>
      </c>
      <c r="AB126" s="795">
        <v>5.52</v>
      </c>
      <c r="AC126" s="790">
        <f>AB126*I260</f>
        <v>459263.99999999994</v>
      </c>
      <c r="AD126" s="790"/>
      <c r="AE126" s="790"/>
      <c r="AF126" s="790">
        <f>SUM(AC126:AE126)</f>
        <v>459263.99999999994</v>
      </c>
      <c r="AG126" s="719">
        <v>1</v>
      </c>
      <c r="AH126" s="791" t="s">
        <v>1312</v>
      </c>
      <c r="AI126" s="795">
        <v>5.71</v>
      </c>
      <c r="AJ126" s="790">
        <f>AI126*I260</f>
        <v>475072</v>
      </c>
      <c r="AK126" s="790"/>
      <c r="AL126" s="790"/>
      <c r="AM126" s="790">
        <f>SUM(AJ126:AL126)</f>
        <v>475072</v>
      </c>
    </row>
    <row r="127" spans="1:39" ht="18" customHeight="1">
      <c r="A127" s="826">
        <v>77</v>
      </c>
      <c r="B127" s="720" t="s">
        <v>723</v>
      </c>
      <c r="C127" s="790" t="s">
        <v>697</v>
      </c>
      <c r="D127" s="719">
        <v>1983</v>
      </c>
      <c r="E127" s="799" t="s">
        <v>788</v>
      </c>
      <c r="F127" s="827" t="s">
        <v>1313</v>
      </c>
      <c r="G127" s="719">
        <v>1</v>
      </c>
      <c r="H127" s="791" t="s">
        <v>1314</v>
      </c>
      <c r="I127" s="795">
        <v>4.41</v>
      </c>
      <c r="J127" s="790">
        <f>I127*I260</f>
        <v>366912</v>
      </c>
      <c r="K127" s="797"/>
      <c r="L127" s="790"/>
      <c r="M127" s="790">
        <f t="shared" si="43"/>
        <v>366912</v>
      </c>
      <c r="N127" s="790">
        <v>1</v>
      </c>
      <c r="O127" s="791" t="s">
        <v>1315</v>
      </c>
      <c r="P127" s="795">
        <v>4.41</v>
      </c>
      <c r="Q127" s="790">
        <f>P127*83200</f>
        <v>366912</v>
      </c>
      <c r="R127" s="797"/>
      <c r="S127" s="790"/>
      <c r="T127" s="790">
        <f t="shared" si="44"/>
        <v>366912</v>
      </c>
      <c r="U127" s="718">
        <f t="shared" si="45"/>
        <v>0</v>
      </c>
      <c r="V127" s="719">
        <f t="shared" si="46"/>
        <v>0</v>
      </c>
      <c r="W127" s="718">
        <f t="shared" si="46"/>
        <v>0</v>
      </c>
      <c r="X127" s="719">
        <f t="shared" si="46"/>
        <v>0</v>
      </c>
      <c r="Y127" s="719">
        <f t="shared" si="46"/>
        <v>0</v>
      </c>
      <c r="Z127" s="790">
        <v>1</v>
      </c>
      <c r="AA127" s="791" t="s">
        <v>1156</v>
      </c>
      <c r="AB127" s="795">
        <v>4.55</v>
      </c>
      <c r="AC127" s="790">
        <f>AB127*I260</f>
        <v>378560</v>
      </c>
      <c r="AD127" s="790"/>
      <c r="AE127" s="790"/>
      <c r="AF127" s="790">
        <f>SUM(AC127:AE127)</f>
        <v>378560</v>
      </c>
      <c r="AG127" s="719">
        <v>1</v>
      </c>
      <c r="AH127" s="791" t="s">
        <v>1155</v>
      </c>
      <c r="AI127" s="795">
        <v>4.55</v>
      </c>
      <c r="AJ127" s="790">
        <f>AI127*I260</f>
        <v>378560</v>
      </c>
      <c r="AK127" s="790"/>
      <c r="AL127" s="790"/>
      <c r="AM127" s="790">
        <f>SUM(AJ127:AL127)</f>
        <v>378560</v>
      </c>
    </row>
    <row r="128" spans="1:39" ht="18" customHeight="1">
      <c r="A128" s="826">
        <v>78</v>
      </c>
      <c r="B128" s="720" t="s">
        <v>746</v>
      </c>
      <c r="C128" s="790" t="s">
        <v>697</v>
      </c>
      <c r="D128" s="719">
        <v>1965</v>
      </c>
      <c r="E128" s="799" t="s">
        <v>788</v>
      </c>
      <c r="F128" s="827" t="s">
        <v>1316</v>
      </c>
      <c r="G128" s="719">
        <v>1</v>
      </c>
      <c r="H128" s="855" t="s">
        <v>1317</v>
      </c>
      <c r="I128" s="856">
        <v>5.34</v>
      </c>
      <c r="J128" s="829">
        <f>IF((I128*I260)&lt;449550,449550,I128*I260)</f>
        <v>449550</v>
      </c>
      <c r="K128" s="857"/>
      <c r="L128" s="858">
        <f>J128*5/100</f>
        <v>22477.5</v>
      </c>
      <c r="M128" s="858">
        <f t="shared" si="43"/>
        <v>472027.5</v>
      </c>
      <c r="N128" s="859">
        <v>1</v>
      </c>
      <c r="O128" s="855" t="s">
        <v>1318</v>
      </c>
      <c r="P128" s="856">
        <v>5.34</v>
      </c>
      <c r="Q128" s="829">
        <f>IF((P128*83200)&lt;449550,449550,P128*83200)</f>
        <v>449550</v>
      </c>
      <c r="R128" s="857"/>
      <c r="S128" s="858">
        <f>Q128*5/100</f>
        <v>22477.5</v>
      </c>
      <c r="T128" s="858">
        <f t="shared" si="44"/>
        <v>472027.5</v>
      </c>
      <c r="U128" s="860">
        <f t="shared" si="45"/>
        <v>0</v>
      </c>
      <c r="V128" s="858">
        <f t="shared" si="46"/>
        <v>0</v>
      </c>
      <c r="W128" s="860">
        <f t="shared" si="46"/>
        <v>0</v>
      </c>
      <c r="X128" s="858">
        <f t="shared" si="46"/>
        <v>0</v>
      </c>
      <c r="Y128" s="858">
        <f t="shared" si="46"/>
        <v>0</v>
      </c>
      <c r="Z128" s="859">
        <v>1</v>
      </c>
      <c r="AA128" s="855" t="s">
        <v>1319</v>
      </c>
      <c r="AB128" s="856">
        <v>5.34</v>
      </c>
      <c r="AC128" s="829">
        <f>IF((AB128*I260)&lt;449550,449550,AB128*I260)</f>
        <v>449550</v>
      </c>
      <c r="AD128" s="857"/>
      <c r="AE128" s="858">
        <f>AC128*5/100</f>
        <v>22477.5</v>
      </c>
      <c r="AF128" s="858">
        <f>AC128+AD128+AE128</f>
        <v>472027.5</v>
      </c>
      <c r="AG128" s="859">
        <v>1</v>
      </c>
      <c r="AH128" s="855" t="s">
        <v>1320</v>
      </c>
      <c r="AI128" s="856">
        <v>5.34</v>
      </c>
      <c r="AJ128" s="829">
        <f>IF((AI128*I260)&lt;449550,449550,AI128*I260)</f>
        <v>449550</v>
      </c>
      <c r="AK128" s="857"/>
      <c r="AL128" s="858">
        <f>AJ128*5/100</f>
        <v>22477.5</v>
      </c>
      <c r="AM128" s="858">
        <f>AJ128+AK128+AL128</f>
        <v>472027.5</v>
      </c>
    </row>
    <row r="129" spans="1:39" ht="18" customHeight="1">
      <c r="A129" s="826">
        <v>79</v>
      </c>
      <c r="B129" s="720" t="s">
        <v>724</v>
      </c>
      <c r="C129" s="790" t="s">
        <v>697</v>
      </c>
      <c r="D129" s="719">
        <v>1985</v>
      </c>
      <c r="E129" s="718" t="s">
        <v>790</v>
      </c>
      <c r="F129" s="827" t="s">
        <v>1321</v>
      </c>
      <c r="G129" s="719">
        <v>1</v>
      </c>
      <c r="H129" s="791" t="s">
        <v>1291</v>
      </c>
      <c r="I129" s="795">
        <v>3.88</v>
      </c>
      <c r="J129" s="790">
        <f>I129*I260</f>
        <v>322816</v>
      </c>
      <c r="K129" s="797"/>
      <c r="L129" s="790"/>
      <c r="M129" s="790">
        <f t="shared" si="43"/>
        <v>322816</v>
      </c>
      <c r="N129" s="790">
        <v>1</v>
      </c>
      <c r="O129" s="791" t="s">
        <v>1289</v>
      </c>
      <c r="P129" s="795">
        <v>3.88</v>
      </c>
      <c r="Q129" s="790">
        <f>P129*83200</f>
        <v>322816</v>
      </c>
      <c r="R129" s="797"/>
      <c r="S129" s="790"/>
      <c r="T129" s="790">
        <f t="shared" si="44"/>
        <v>322816</v>
      </c>
      <c r="U129" s="718">
        <f t="shared" si="45"/>
        <v>0</v>
      </c>
      <c r="V129" s="719">
        <f t="shared" si="46"/>
        <v>0</v>
      </c>
      <c r="W129" s="718">
        <f t="shared" si="46"/>
        <v>0</v>
      </c>
      <c r="X129" s="719">
        <f t="shared" si="46"/>
        <v>0</v>
      </c>
      <c r="Y129" s="719">
        <f t="shared" si="46"/>
        <v>0</v>
      </c>
      <c r="Z129" s="790">
        <v>1</v>
      </c>
      <c r="AA129" s="791" t="s">
        <v>1292</v>
      </c>
      <c r="AB129" s="795">
        <v>4.01</v>
      </c>
      <c r="AC129" s="790">
        <f>AB129*I260</f>
        <v>333632</v>
      </c>
      <c r="AD129" s="790"/>
      <c r="AE129" s="790"/>
      <c r="AF129" s="790">
        <f>SUM(AC129:AE129)</f>
        <v>333632</v>
      </c>
      <c r="AG129" s="719">
        <v>1</v>
      </c>
      <c r="AH129" s="791" t="s">
        <v>1322</v>
      </c>
      <c r="AI129" s="795">
        <v>4.01</v>
      </c>
      <c r="AJ129" s="790">
        <f>AI129*I260</f>
        <v>333632</v>
      </c>
      <c r="AK129" s="790"/>
      <c r="AL129" s="790"/>
      <c r="AM129" s="790">
        <f>SUM(AJ129:AL129)</f>
        <v>333632</v>
      </c>
    </row>
    <row r="130" spans="1:39" ht="18" customHeight="1">
      <c r="A130" s="826">
        <v>80</v>
      </c>
      <c r="B130" s="720" t="s">
        <v>725</v>
      </c>
      <c r="C130" s="790" t="s">
        <v>697</v>
      </c>
      <c r="D130" s="719">
        <v>1972</v>
      </c>
      <c r="E130" s="718" t="s">
        <v>790</v>
      </c>
      <c r="F130" s="827" t="s">
        <v>1323</v>
      </c>
      <c r="G130" s="719">
        <v>1</v>
      </c>
      <c r="H130" s="791" t="s">
        <v>1324</v>
      </c>
      <c r="I130" s="795">
        <v>3.88</v>
      </c>
      <c r="J130" s="790">
        <f>I130*I260</f>
        <v>322816</v>
      </c>
      <c r="K130" s="797"/>
      <c r="L130" s="790"/>
      <c r="M130" s="790">
        <f t="shared" si="43"/>
        <v>322816</v>
      </c>
      <c r="N130" s="790">
        <v>1</v>
      </c>
      <c r="O130" s="791" t="s">
        <v>1325</v>
      </c>
      <c r="P130" s="795">
        <v>3.88</v>
      </c>
      <c r="Q130" s="790">
        <f>P130*83200</f>
        <v>322816</v>
      </c>
      <c r="R130" s="797"/>
      <c r="S130" s="790"/>
      <c r="T130" s="790">
        <f t="shared" si="44"/>
        <v>322816</v>
      </c>
      <c r="U130" s="718">
        <f t="shared" si="45"/>
        <v>0</v>
      </c>
      <c r="V130" s="719">
        <f t="shared" si="46"/>
        <v>0</v>
      </c>
      <c r="W130" s="718">
        <f t="shared" si="46"/>
        <v>0</v>
      </c>
      <c r="X130" s="719">
        <f t="shared" si="46"/>
        <v>0</v>
      </c>
      <c r="Y130" s="719">
        <f t="shared" si="46"/>
        <v>0</v>
      </c>
      <c r="Z130" s="790">
        <v>1</v>
      </c>
      <c r="AA130" s="791" t="s">
        <v>1326</v>
      </c>
      <c r="AB130" s="795">
        <v>4.01</v>
      </c>
      <c r="AC130" s="790">
        <f>AB130*I260</f>
        <v>333632</v>
      </c>
      <c r="AD130" s="790"/>
      <c r="AE130" s="790"/>
      <c r="AF130" s="790">
        <f>SUM(AC130:AE130)</f>
        <v>333632</v>
      </c>
      <c r="AG130" s="719">
        <v>1</v>
      </c>
      <c r="AH130" s="791" t="s">
        <v>1327</v>
      </c>
      <c r="AI130" s="795">
        <v>4.01</v>
      </c>
      <c r="AJ130" s="790">
        <f>AI130*I260</f>
        <v>333632</v>
      </c>
      <c r="AK130" s="790"/>
      <c r="AL130" s="790"/>
      <c r="AM130" s="790">
        <f>SUM(AJ130:AL130)</f>
        <v>333632</v>
      </c>
    </row>
    <row r="131" spans="1:39" ht="18" customHeight="1">
      <c r="A131" s="826">
        <v>81</v>
      </c>
      <c r="B131" s="720" t="s">
        <v>726</v>
      </c>
      <c r="C131" s="790" t="s">
        <v>697</v>
      </c>
      <c r="D131" s="719">
        <v>1978</v>
      </c>
      <c r="E131" s="718" t="s">
        <v>790</v>
      </c>
      <c r="F131" s="827" t="s">
        <v>1328</v>
      </c>
      <c r="G131" s="719">
        <v>1</v>
      </c>
      <c r="H131" s="791" t="s">
        <v>1218</v>
      </c>
      <c r="I131" s="795">
        <v>3.64</v>
      </c>
      <c r="J131" s="790">
        <f>I131*I260</f>
        <v>302848</v>
      </c>
      <c r="K131" s="797"/>
      <c r="L131" s="790"/>
      <c r="M131" s="790">
        <f t="shared" si="43"/>
        <v>302848</v>
      </c>
      <c r="N131" s="790">
        <v>1</v>
      </c>
      <c r="O131" s="791" t="s">
        <v>1222</v>
      </c>
      <c r="P131" s="795">
        <v>3.64</v>
      </c>
      <c r="Q131" s="790">
        <f aca="true" t="shared" si="47" ref="Q131:Q138">P131*83200</f>
        <v>302848</v>
      </c>
      <c r="R131" s="797"/>
      <c r="S131" s="790"/>
      <c r="T131" s="790">
        <f t="shared" si="44"/>
        <v>302848</v>
      </c>
      <c r="U131" s="718">
        <f t="shared" si="45"/>
        <v>0</v>
      </c>
      <c r="V131" s="719">
        <f t="shared" si="46"/>
        <v>0</v>
      </c>
      <c r="W131" s="718">
        <f t="shared" si="46"/>
        <v>0</v>
      </c>
      <c r="X131" s="719">
        <f t="shared" si="46"/>
        <v>0</v>
      </c>
      <c r="Y131" s="719">
        <f t="shared" si="46"/>
        <v>0</v>
      </c>
      <c r="Z131" s="790">
        <v>1</v>
      </c>
      <c r="AA131" s="791" t="s">
        <v>1217</v>
      </c>
      <c r="AB131" s="795">
        <v>3.76</v>
      </c>
      <c r="AC131" s="790">
        <f>AB131*I260</f>
        <v>312832</v>
      </c>
      <c r="AD131" s="790"/>
      <c r="AE131" s="790"/>
      <c r="AF131" s="790">
        <f>SUM(AC131:AE131)</f>
        <v>312832</v>
      </c>
      <c r="AG131" s="719">
        <v>1</v>
      </c>
      <c r="AH131" s="791" t="s">
        <v>1219</v>
      </c>
      <c r="AI131" s="795">
        <v>3.76</v>
      </c>
      <c r="AJ131" s="790">
        <f>AI131*I260</f>
        <v>312832</v>
      </c>
      <c r="AK131" s="790"/>
      <c r="AL131" s="790"/>
      <c r="AM131" s="790">
        <f>SUM(AJ131:AL131)</f>
        <v>312832</v>
      </c>
    </row>
    <row r="132" spans="1:39" ht="18" customHeight="1">
      <c r="A132" s="826">
        <v>82</v>
      </c>
      <c r="B132" s="720" t="s">
        <v>747</v>
      </c>
      <c r="C132" s="790" t="s">
        <v>697</v>
      </c>
      <c r="D132" s="719">
        <v>1982</v>
      </c>
      <c r="E132" s="718" t="s">
        <v>790</v>
      </c>
      <c r="F132" s="827" t="s">
        <v>1329</v>
      </c>
      <c r="G132" s="719">
        <v>1</v>
      </c>
      <c r="H132" s="791" t="s">
        <v>1330</v>
      </c>
      <c r="I132" s="795">
        <v>4.13</v>
      </c>
      <c r="J132" s="790">
        <f>I132*I260</f>
        <v>343616</v>
      </c>
      <c r="K132" s="797"/>
      <c r="L132" s="790"/>
      <c r="M132" s="719">
        <f t="shared" si="43"/>
        <v>343616</v>
      </c>
      <c r="N132" s="790">
        <v>1</v>
      </c>
      <c r="O132" s="791" t="s">
        <v>1331</v>
      </c>
      <c r="P132" s="795">
        <v>4.01</v>
      </c>
      <c r="Q132" s="790">
        <f t="shared" si="47"/>
        <v>333632</v>
      </c>
      <c r="R132" s="797"/>
      <c r="S132" s="790"/>
      <c r="T132" s="790">
        <f t="shared" si="44"/>
        <v>333632</v>
      </c>
      <c r="U132" s="718">
        <f t="shared" si="45"/>
        <v>0</v>
      </c>
      <c r="V132" s="719">
        <f t="shared" si="46"/>
        <v>9984</v>
      </c>
      <c r="W132" s="718">
        <f t="shared" si="46"/>
        <v>0</v>
      </c>
      <c r="X132" s="719">
        <f t="shared" si="46"/>
        <v>0</v>
      </c>
      <c r="Y132" s="719">
        <f t="shared" si="46"/>
        <v>9984</v>
      </c>
      <c r="Z132" s="790">
        <v>1</v>
      </c>
      <c r="AA132" s="791" t="s">
        <v>1332</v>
      </c>
      <c r="AB132" s="795">
        <v>4.13</v>
      </c>
      <c r="AC132" s="790">
        <f>AB132*I260</f>
        <v>343616</v>
      </c>
      <c r="AD132" s="797"/>
      <c r="AE132" s="790"/>
      <c r="AF132" s="719">
        <f>AC132+AD132+AE132</f>
        <v>343616</v>
      </c>
      <c r="AG132" s="790">
        <v>1</v>
      </c>
      <c r="AH132" s="791" t="s">
        <v>1333</v>
      </c>
      <c r="AI132" s="795">
        <v>4.13</v>
      </c>
      <c r="AJ132" s="790">
        <f>AI132*I260</f>
        <v>343616</v>
      </c>
      <c r="AK132" s="797"/>
      <c r="AL132" s="790"/>
      <c r="AM132" s="719">
        <f>AJ132+AK132+AL132</f>
        <v>343616</v>
      </c>
    </row>
    <row r="133" spans="1:39" ht="18" customHeight="1">
      <c r="A133" s="826">
        <v>83</v>
      </c>
      <c r="B133" s="720" t="s">
        <v>748</v>
      </c>
      <c r="C133" s="790" t="s">
        <v>697</v>
      </c>
      <c r="D133" s="719">
        <v>1979</v>
      </c>
      <c r="E133" s="718" t="s">
        <v>790</v>
      </c>
      <c r="F133" s="827" t="s">
        <v>1334</v>
      </c>
      <c r="G133" s="719">
        <v>1</v>
      </c>
      <c r="H133" s="791" t="s">
        <v>1283</v>
      </c>
      <c r="I133" s="795">
        <v>4.01</v>
      </c>
      <c r="J133" s="790">
        <f>I133*I260</f>
        <v>333632</v>
      </c>
      <c r="K133" s="797"/>
      <c r="L133" s="719">
        <f>J133*5/100</f>
        <v>16681.6</v>
      </c>
      <c r="M133" s="719">
        <f t="shared" si="43"/>
        <v>350313.6</v>
      </c>
      <c r="N133" s="719">
        <v>1</v>
      </c>
      <c r="O133" s="791" t="s">
        <v>1284</v>
      </c>
      <c r="P133" s="795">
        <v>4.01</v>
      </c>
      <c r="Q133" s="790">
        <f t="shared" si="47"/>
        <v>333632</v>
      </c>
      <c r="R133" s="797"/>
      <c r="S133" s="719">
        <f>Q133*5/100</f>
        <v>16681.6</v>
      </c>
      <c r="T133" s="719">
        <f t="shared" si="44"/>
        <v>350313.6</v>
      </c>
      <c r="U133" s="718">
        <f t="shared" si="45"/>
        <v>0</v>
      </c>
      <c r="V133" s="719">
        <f t="shared" si="46"/>
        <v>0</v>
      </c>
      <c r="W133" s="718">
        <f t="shared" si="46"/>
        <v>0</v>
      </c>
      <c r="X133" s="719">
        <f t="shared" si="46"/>
        <v>0</v>
      </c>
      <c r="Y133" s="719">
        <f t="shared" si="46"/>
        <v>0</v>
      </c>
      <c r="Z133" s="719">
        <v>1</v>
      </c>
      <c r="AA133" s="791" t="s">
        <v>1250</v>
      </c>
      <c r="AB133" s="795">
        <v>4.01</v>
      </c>
      <c r="AC133" s="790">
        <f>AB133*I260</f>
        <v>333632</v>
      </c>
      <c r="AD133" s="797"/>
      <c r="AE133" s="790">
        <f>AC133*5/100</f>
        <v>16681.6</v>
      </c>
      <c r="AF133" s="719">
        <f>AC133+AD133+AE133</f>
        <v>350313.6</v>
      </c>
      <c r="AG133" s="719">
        <v>1</v>
      </c>
      <c r="AH133" s="791" t="s">
        <v>1249</v>
      </c>
      <c r="AI133" s="795">
        <v>4.13</v>
      </c>
      <c r="AJ133" s="790">
        <f>AI133*I260</f>
        <v>343616</v>
      </c>
      <c r="AK133" s="797"/>
      <c r="AL133" s="790">
        <f>AJ133*5/100</f>
        <v>17180.8</v>
      </c>
      <c r="AM133" s="719">
        <f>AJ133+AK133+AL133</f>
        <v>360796.8</v>
      </c>
    </row>
    <row r="134" spans="1:39" ht="18" customHeight="1">
      <c r="A134" s="826">
        <v>84</v>
      </c>
      <c r="B134" s="720" t="s">
        <v>749</v>
      </c>
      <c r="C134" s="790" t="s">
        <v>697</v>
      </c>
      <c r="D134" s="719">
        <v>1979</v>
      </c>
      <c r="E134" s="718" t="s">
        <v>790</v>
      </c>
      <c r="F134" s="827" t="s">
        <v>1335</v>
      </c>
      <c r="G134" s="719">
        <v>1</v>
      </c>
      <c r="H134" s="791" t="s">
        <v>1283</v>
      </c>
      <c r="I134" s="795">
        <v>4.01</v>
      </c>
      <c r="J134" s="790">
        <f>I134*I260</f>
        <v>333632</v>
      </c>
      <c r="K134" s="797"/>
      <c r="L134" s="719">
        <f>J134*5/100</f>
        <v>16681.6</v>
      </c>
      <c r="M134" s="719">
        <f t="shared" si="43"/>
        <v>350313.6</v>
      </c>
      <c r="N134" s="719">
        <v>1</v>
      </c>
      <c r="O134" s="791" t="s">
        <v>1284</v>
      </c>
      <c r="P134" s="795">
        <v>4.01</v>
      </c>
      <c r="Q134" s="790">
        <f t="shared" si="47"/>
        <v>333632</v>
      </c>
      <c r="R134" s="797"/>
      <c r="S134" s="719">
        <f>Q134*5/100</f>
        <v>16681.6</v>
      </c>
      <c r="T134" s="719">
        <f t="shared" si="44"/>
        <v>350313.6</v>
      </c>
      <c r="U134" s="718">
        <f t="shared" si="45"/>
        <v>0</v>
      </c>
      <c r="V134" s="719">
        <f t="shared" si="46"/>
        <v>0</v>
      </c>
      <c r="W134" s="718">
        <f t="shared" si="46"/>
        <v>0</v>
      </c>
      <c r="X134" s="719">
        <f t="shared" si="46"/>
        <v>0</v>
      </c>
      <c r="Y134" s="719">
        <f t="shared" si="46"/>
        <v>0</v>
      </c>
      <c r="Z134" s="719">
        <v>1</v>
      </c>
      <c r="AA134" s="791" t="s">
        <v>1250</v>
      </c>
      <c r="AB134" s="795">
        <v>4.01</v>
      </c>
      <c r="AC134" s="790">
        <f>AB134*I260</f>
        <v>333632</v>
      </c>
      <c r="AD134" s="797"/>
      <c r="AE134" s="790">
        <f>AC134*5/100</f>
        <v>16681.6</v>
      </c>
      <c r="AF134" s="719">
        <f>AC134+AD134+AE134</f>
        <v>350313.6</v>
      </c>
      <c r="AG134" s="719">
        <v>1</v>
      </c>
      <c r="AH134" s="791" t="s">
        <v>1249</v>
      </c>
      <c r="AI134" s="795">
        <v>4.13</v>
      </c>
      <c r="AJ134" s="790">
        <f>AI134*I260</f>
        <v>343616</v>
      </c>
      <c r="AK134" s="797"/>
      <c r="AL134" s="790">
        <f>AJ134*5/100</f>
        <v>17180.8</v>
      </c>
      <c r="AM134" s="719">
        <f>AJ134+AK134+AL134</f>
        <v>360796.8</v>
      </c>
    </row>
    <row r="135" spans="1:39" ht="18" customHeight="1">
      <c r="A135" s="826">
        <v>85</v>
      </c>
      <c r="B135" s="720" t="s">
        <v>750</v>
      </c>
      <c r="C135" s="790" t="s">
        <v>703</v>
      </c>
      <c r="D135" s="719">
        <v>1978</v>
      </c>
      <c r="E135" s="718" t="s">
        <v>790</v>
      </c>
      <c r="F135" s="827" t="s">
        <v>1336</v>
      </c>
      <c r="G135" s="719">
        <v>1</v>
      </c>
      <c r="H135" s="791" t="s">
        <v>1187</v>
      </c>
      <c r="I135" s="795">
        <v>3.64</v>
      </c>
      <c r="J135" s="790">
        <f>I135*I260</f>
        <v>302848</v>
      </c>
      <c r="K135" s="797"/>
      <c r="L135" s="790"/>
      <c r="M135" s="719">
        <f t="shared" si="43"/>
        <v>302848</v>
      </c>
      <c r="N135" s="790">
        <v>1</v>
      </c>
      <c r="O135" s="791" t="s">
        <v>1185</v>
      </c>
      <c r="P135" s="795">
        <v>3.64</v>
      </c>
      <c r="Q135" s="790">
        <f t="shared" si="47"/>
        <v>302848</v>
      </c>
      <c r="R135" s="797"/>
      <c r="S135" s="790"/>
      <c r="T135" s="790">
        <f t="shared" si="44"/>
        <v>302848</v>
      </c>
      <c r="U135" s="718">
        <f t="shared" si="45"/>
        <v>0</v>
      </c>
      <c r="V135" s="719">
        <f t="shared" si="46"/>
        <v>0</v>
      </c>
      <c r="W135" s="718">
        <f t="shared" si="46"/>
        <v>0</v>
      </c>
      <c r="X135" s="719">
        <f t="shared" si="46"/>
        <v>0</v>
      </c>
      <c r="Y135" s="719">
        <f t="shared" si="46"/>
        <v>0</v>
      </c>
      <c r="Z135" s="790">
        <v>1</v>
      </c>
      <c r="AA135" s="791" t="s">
        <v>1188</v>
      </c>
      <c r="AB135" s="795">
        <v>3.76</v>
      </c>
      <c r="AC135" s="790">
        <f>AB135*I260</f>
        <v>312832</v>
      </c>
      <c r="AD135" s="790"/>
      <c r="AE135" s="790"/>
      <c r="AF135" s="719">
        <f>AC135+AD135+AE135</f>
        <v>312832</v>
      </c>
      <c r="AG135" s="790">
        <v>1</v>
      </c>
      <c r="AH135" s="791" t="s">
        <v>1311</v>
      </c>
      <c r="AI135" s="795">
        <v>3.76</v>
      </c>
      <c r="AJ135" s="790">
        <f>AI135*I260</f>
        <v>312832</v>
      </c>
      <c r="AK135" s="797"/>
      <c r="AL135" s="797"/>
      <c r="AM135" s="790">
        <f>SUM(AJ135:AL135)</f>
        <v>312832</v>
      </c>
    </row>
    <row r="136" spans="1:39" s="837" customFormat="1" ht="18" customHeight="1">
      <c r="A136" s="826">
        <v>86</v>
      </c>
      <c r="B136" s="828"/>
      <c r="C136" s="829"/>
      <c r="D136" s="830"/>
      <c r="E136" s="567" t="s">
        <v>790</v>
      </c>
      <c r="F136" s="827" t="s">
        <v>1337</v>
      </c>
      <c r="G136" s="838">
        <v>1</v>
      </c>
      <c r="H136" s="832">
        <v>1</v>
      </c>
      <c r="I136" s="563">
        <v>3.76</v>
      </c>
      <c r="J136" s="561">
        <f>I136*I260</f>
        <v>312832</v>
      </c>
      <c r="K136" s="602"/>
      <c r="L136" s="561"/>
      <c r="M136" s="561">
        <f>SUM(J136:L136)</f>
        <v>312832</v>
      </c>
      <c r="N136" s="561">
        <v>1</v>
      </c>
      <c r="O136" s="832">
        <v>0</v>
      </c>
      <c r="P136" s="563">
        <v>3.76</v>
      </c>
      <c r="Q136" s="561">
        <f t="shared" si="47"/>
        <v>312832</v>
      </c>
      <c r="R136" s="602"/>
      <c r="S136" s="561"/>
      <c r="T136" s="561">
        <f t="shared" si="44"/>
        <v>312832</v>
      </c>
      <c r="U136" s="567">
        <f t="shared" si="45"/>
        <v>0</v>
      </c>
      <c r="V136" s="833">
        <f t="shared" si="46"/>
        <v>0</v>
      </c>
      <c r="W136" s="567">
        <f t="shared" si="46"/>
        <v>0</v>
      </c>
      <c r="X136" s="833">
        <f t="shared" si="46"/>
        <v>0</v>
      </c>
      <c r="Y136" s="833">
        <f t="shared" si="46"/>
        <v>0</v>
      </c>
      <c r="Z136" s="561">
        <v>1</v>
      </c>
      <c r="AA136" s="832">
        <v>2</v>
      </c>
      <c r="AB136" s="563">
        <v>3.76</v>
      </c>
      <c r="AC136" s="561">
        <f>AB136*I260</f>
        <v>312832</v>
      </c>
      <c r="AD136" s="561"/>
      <c r="AE136" s="561"/>
      <c r="AF136" s="561">
        <f>SUM(AC136:AE136)</f>
        <v>312832</v>
      </c>
      <c r="AG136" s="561">
        <v>1</v>
      </c>
      <c r="AH136" s="832">
        <v>3</v>
      </c>
      <c r="AI136" s="563">
        <v>3.76</v>
      </c>
      <c r="AJ136" s="561">
        <f>AI136*I260</f>
        <v>312832</v>
      </c>
      <c r="AK136" s="602"/>
      <c r="AL136" s="561"/>
      <c r="AM136" s="561">
        <f>SUM(AJ136:AL136)</f>
        <v>312832</v>
      </c>
    </row>
    <row r="137" spans="1:39" s="837" customFormat="1" ht="18" customHeight="1">
      <c r="A137" s="826">
        <v>87</v>
      </c>
      <c r="B137" s="828"/>
      <c r="C137" s="829"/>
      <c r="D137" s="830"/>
      <c r="E137" s="567" t="s">
        <v>790</v>
      </c>
      <c r="F137" s="827" t="s">
        <v>1338</v>
      </c>
      <c r="G137" s="838">
        <v>1</v>
      </c>
      <c r="H137" s="832">
        <v>1</v>
      </c>
      <c r="I137" s="563">
        <v>3.76</v>
      </c>
      <c r="J137" s="561">
        <f>I137*I260</f>
        <v>312832</v>
      </c>
      <c r="K137" s="602"/>
      <c r="L137" s="561"/>
      <c r="M137" s="561">
        <f>SUM(J137:L137)</f>
        <v>312832</v>
      </c>
      <c r="N137" s="561">
        <v>1</v>
      </c>
      <c r="O137" s="832">
        <v>0</v>
      </c>
      <c r="P137" s="563">
        <v>3.76</v>
      </c>
      <c r="Q137" s="561">
        <f t="shared" si="47"/>
        <v>312832</v>
      </c>
      <c r="R137" s="602"/>
      <c r="S137" s="561"/>
      <c r="T137" s="561">
        <f t="shared" si="44"/>
        <v>312832</v>
      </c>
      <c r="U137" s="567">
        <f t="shared" si="45"/>
        <v>0</v>
      </c>
      <c r="V137" s="833">
        <f t="shared" si="46"/>
        <v>0</v>
      </c>
      <c r="W137" s="567">
        <f t="shared" si="46"/>
        <v>0</v>
      </c>
      <c r="X137" s="833">
        <f t="shared" si="46"/>
        <v>0</v>
      </c>
      <c r="Y137" s="833">
        <f t="shared" si="46"/>
        <v>0</v>
      </c>
      <c r="Z137" s="561">
        <v>1</v>
      </c>
      <c r="AA137" s="832">
        <v>2</v>
      </c>
      <c r="AB137" s="563">
        <v>3.76</v>
      </c>
      <c r="AC137" s="561">
        <f>AB137*I260</f>
        <v>312832</v>
      </c>
      <c r="AD137" s="561"/>
      <c r="AE137" s="561"/>
      <c r="AF137" s="561">
        <f>SUM(AC137:AE137)</f>
        <v>312832</v>
      </c>
      <c r="AG137" s="561">
        <v>1</v>
      </c>
      <c r="AH137" s="832">
        <v>3</v>
      </c>
      <c r="AI137" s="563">
        <v>3.76</v>
      </c>
      <c r="AJ137" s="561">
        <f>AI137*I260</f>
        <v>312832</v>
      </c>
      <c r="AK137" s="602"/>
      <c r="AL137" s="561"/>
      <c r="AM137" s="561">
        <f>SUM(AJ137:AL137)</f>
        <v>312832</v>
      </c>
    </row>
    <row r="138" spans="1:39" s="837" customFormat="1" ht="18" customHeight="1">
      <c r="A138" s="826">
        <v>88</v>
      </c>
      <c r="B138" s="828"/>
      <c r="C138" s="829"/>
      <c r="D138" s="830"/>
      <c r="E138" s="567" t="s">
        <v>790</v>
      </c>
      <c r="F138" s="827" t="s">
        <v>1339</v>
      </c>
      <c r="G138" s="838">
        <v>1</v>
      </c>
      <c r="H138" s="832">
        <v>1</v>
      </c>
      <c r="I138" s="563">
        <v>3.76</v>
      </c>
      <c r="J138" s="561">
        <f>I138*I260</f>
        <v>312832</v>
      </c>
      <c r="K138" s="602"/>
      <c r="L138" s="561"/>
      <c r="M138" s="561">
        <f>SUM(J138:L138)</f>
        <v>312832</v>
      </c>
      <c r="N138" s="561">
        <v>1</v>
      </c>
      <c r="O138" s="832">
        <v>0</v>
      </c>
      <c r="P138" s="563">
        <v>3.76</v>
      </c>
      <c r="Q138" s="561">
        <f t="shared" si="47"/>
        <v>312832</v>
      </c>
      <c r="R138" s="602"/>
      <c r="S138" s="561"/>
      <c r="T138" s="561">
        <f t="shared" si="44"/>
        <v>312832</v>
      </c>
      <c r="U138" s="567">
        <f t="shared" si="45"/>
        <v>0</v>
      </c>
      <c r="V138" s="833">
        <f t="shared" si="46"/>
        <v>0</v>
      </c>
      <c r="W138" s="567">
        <f t="shared" si="46"/>
        <v>0</v>
      </c>
      <c r="X138" s="833">
        <f t="shared" si="46"/>
        <v>0</v>
      </c>
      <c r="Y138" s="833">
        <f t="shared" si="46"/>
        <v>0</v>
      </c>
      <c r="Z138" s="561">
        <v>1</v>
      </c>
      <c r="AA138" s="832">
        <v>2</v>
      </c>
      <c r="AB138" s="563">
        <v>3.76</v>
      </c>
      <c r="AC138" s="561">
        <f>AB138*I260</f>
        <v>312832</v>
      </c>
      <c r="AD138" s="561"/>
      <c r="AE138" s="561"/>
      <c r="AF138" s="561">
        <f>SUM(AC138:AE138)</f>
        <v>312832</v>
      </c>
      <c r="AG138" s="561">
        <v>1</v>
      </c>
      <c r="AH138" s="832">
        <v>3</v>
      </c>
      <c r="AI138" s="563">
        <v>3.76</v>
      </c>
      <c r="AJ138" s="561">
        <f>AI138*I260</f>
        <v>312832</v>
      </c>
      <c r="AK138" s="602"/>
      <c r="AL138" s="561"/>
      <c r="AM138" s="561">
        <f>SUM(AJ138:AL138)</f>
        <v>312832</v>
      </c>
    </row>
    <row r="139" spans="1:39" s="740" customFormat="1" ht="18" customHeight="1">
      <c r="A139" s="818"/>
      <c r="B139" s="811" t="s">
        <v>132</v>
      </c>
      <c r="C139" s="792"/>
      <c r="D139" s="814"/>
      <c r="E139" s="815"/>
      <c r="F139" s="815"/>
      <c r="G139" s="814">
        <f>SUM(G126:G138)</f>
        <v>13</v>
      </c>
      <c r="H139" s="816" t="s">
        <v>1</v>
      </c>
      <c r="I139" s="814" t="s">
        <v>1</v>
      </c>
      <c r="J139" s="814">
        <f>SUM(J126:J138)</f>
        <v>4476430</v>
      </c>
      <c r="K139" s="814">
        <f>SUM(K126:K138)</f>
        <v>0</v>
      </c>
      <c r="L139" s="814">
        <f>SUM(L126:L138)</f>
        <v>55840.7</v>
      </c>
      <c r="M139" s="814">
        <f>SUM(M126:M138)</f>
        <v>4532270.7</v>
      </c>
      <c r="N139" s="814">
        <f>SUM(N126:N138)</f>
        <v>13</v>
      </c>
      <c r="O139" s="816" t="s">
        <v>1</v>
      </c>
      <c r="P139" s="814" t="s">
        <v>1</v>
      </c>
      <c r="Q139" s="814">
        <f aca="true" t="shared" si="48" ref="Q139:Z139">SUM(Q126:Q138)</f>
        <v>4452302</v>
      </c>
      <c r="R139" s="814">
        <f t="shared" si="48"/>
        <v>0</v>
      </c>
      <c r="S139" s="814">
        <f t="shared" si="48"/>
        <v>55840.7</v>
      </c>
      <c r="T139" s="814">
        <f t="shared" si="48"/>
        <v>4508142.7</v>
      </c>
      <c r="U139" s="814">
        <f t="shared" si="48"/>
        <v>0</v>
      </c>
      <c r="V139" s="814">
        <f t="shared" si="48"/>
        <v>24128</v>
      </c>
      <c r="W139" s="814">
        <f t="shared" si="48"/>
        <v>0</v>
      </c>
      <c r="X139" s="814">
        <f t="shared" si="48"/>
        <v>0</v>
      </c>
      <c r="Y139" s="814">
        <f t="shared" si="48"/>
        <v>24128</v>
      </c>
      <c r="Z139" s="814">
        <f t="shared" si="48"/>
        <v>13</v>
      </c>
      <c r="AA139" s="816" t="s">
        <v>1</v>
      </c>
      <c r="AB139" s="814" t="s">
        <v>1</v>
      </c>
      <c r="AC139" s="814">
        <f>SUM(AC125:AC138)</f>
        <v>4529678</v>
      </c>
      <c r="AD139" s="814">
        <f>SUM(AD126:AD138)</f>
        <v>0</v>
      </c>
      <c r="AE139" s="814">
        <f>SUM(AE126:AE138)</f>
        <v>55840.7</v>
      </c>
      <c r="AF139" s="814">
        <f>SUM(AF126:AF138)</f>
        <v>4585518.7</v>
      </c>
      <c r="AG139" s="814">
        <f>SUM(AG126:AG138)</f>
        <v>13</v>
      </c>
      <c r="AH139" s="816" t="s">
        <v>1</v>
      </c>
      <c r="AI139" s="814" t="s">
        <v>1</v>
      </c>
      <c r="AJ139" s="814">
        <f>SUM(AJ126:AJ138)</f>
        <v>4565454</v>
      </c>
      <c r="AK139" s="814">
        <f>SUM(AK126:AK138)</f>
        <v>0</v>
      </c>
      <c r="AL139" s="814">
        <f>SUM(AL126:AL138)</f>
        <v>56839.100000000006</v>
      </c>
      <c r="AM139" s="814">
        <f>SUM(AM126:AM138)</f>
        <v>4622293.1</v>
      </c>
    </row>
    <row r="140" spans="1:39" ht="18" customHeight="1">
      <c r="A140" s="826"/>
      <c r="B140" s="717"/>
      <c r="C140" s="790"/>
      <c r="D140" s="719"/>
      <c r="E140" s="718"/>
      <c r="F140" s="718"/>
      <c r="G140" s="719"/>
      <c r="H140" s="791"/>
      <c r="I140" s="795"/>
      <c r="J140" s="790"/>
      <c r="K140" s="797"/>
      <c r="L140" s="790"/>
      <c r="M140" s="790"/>
      <c r="N140" s="790"/>
      <c r="O140" s="791"/>
      <c r="P140" s="795"/>
      <c r="Q140" s="790"/>
      <c r="R140" s="797"/>
      <c r="S140" s="790"/>
      <c r="T140" s="790"/>
      <c r="U140" s="718">
        <f>+G140-N140</f>
        <v>0</v>
      </c>
      <c r="V140" s="719">
        <f>J140-Q140</f>
        <v>0</v>
      </c>
      <c r="W140" s="718">
        <f>K140-R140</f>
        <v>0</v>
      </c>
      <c r="X140" s="719">
        <f>L140-S140</f>
        <v>0</v>
      </c>
      <c r="Y140" s="719">
        <f>M140-T140</f>
        <v>0</v>
      </c>
      <c r="Z140" s="790"/>
      <c r="AA140" s="791"/>
      <c r="AB140" s="718"/>
      <c r="AC140" s="790"/>
      <c r="AD140" s="790"/>
      <c r="AE140" s="790"/>
      <c r="AF140" s="790"/>
      <c r="AG140" s="790"/>
      <c r="AH140" s="791"/>
      <c r="AI140" s="718"/>
      <c r="AJ140" s="797"/>
      <c r="AK140" s="797"/>
      <c r="AL140" s="797"/>
      <c r="AM140" s="797"/>
    </row>
    <row r="141" spans="1:37" s="750" customFormat="1" ht="18" customHeight="1">
      <c r="A141" s="818"/>
      <c r="B141" s="717" t="s">
        <v>131</v>
      </c>
      <c r="C141" s="790"/>
      <c r="D141" s="819"/>
      <c r="E141" s="717"/>
      <c r="F141" s="820"/>
      <c r="G141" s="819"/>
      <c r="H141" s="1135" t="s">
        <v>730</v>
      </c>
      <c r="I141" s="1136"/>
      <c r="J141" s="1136"/>
      <c r="K141" s="1136"/>
      <c r="L141" s="1136"/>
      <c r="M141" s="1136"/>
      <c r="N141" s="1137"/>
      <c r="O141" s="821"/>
      <c r="P141" s="822"/>
      <c r="Q141" s="818"/>
      <c r="R141" s="717"/>
      <c r="S141" s="818"/>
      <c r="T141" s="819"/>
      <c r="U141" s="717"/>
      <c r="V141" s="823"/>
      <c r="W141" s="717"/>
      <c r="X141" s="823"/>
      <c r="Y141" s="819"/>
      <c r="Z141" s="820"/>
      <c r="AA141" s="821"/>
      <c r="AB141" s="818"/>
      <c r="AC141" s="818"/>
      <c r="AD141" s="818"/>
      <c r="AE141" s="818"/>
      <c r="AF141" s="820"/>
      <c r="AG141" s="820"/>
      <c r="AH141" s="824"/>
      <c r="AI141" s="717"/>
      <c r="AJ141" s="717"/>
      <c r="AK141" s="717"/>
    </row>
    <row r="142" spans="1:39" ht="18" customHeight="1">
      <c r="A142" s="826"/>
      <c r="B142" s="720"/>
      <c r="C142" s="790"/>
      <c r="D142" s="719"/>
      <c r="E142" s="718"/>
      <c r="F142" s="718"/>
      <c r="G142" s="719"/>
      <c r="H142" s="791"/>
      <c r="I142" s="795"/>
      <c r="J142" s="790"/>
      <c r="K142" s="797"/>
      <c r="L142" s="790"/>
      <c r="M142" s="790"/>
      <c r="N142" s="790"/>
      <c r="O142" s="791"/>
      <c r="P142" s="795"/>
      <c r="Q142" s="790"/>
      <c r="R142" s="797"/>
      <c r="S142" s="790"/>
      <c r="T142" s="790"/>
      <c r="U142" s="797"/>
      <c r="V142" s="798"/>
      <c r="W142" s="797"/>
      <c r="X142" s="798"/>
      <c r="Y142" s="798"/>
      <c r="Z142" s="790"/>
      <c r="AA142" s="791"/>
      <c r="AB142" s="718"/>
      <c r="AC142" s="790"/>
      <c r="AD142" s="790"/>
      <c r="AE142" s="790"/>
      <c r="AF142" s="790"/>
      <c r="AG142" s="790"/>
      <c r="AH142" s="791"/>
      <c r="AI142" s="718"/>
      <c r="AJ142" s="797"/>
      <c r="AK142" s="797"/>
      <c r="AL142" s="797"/>
      <c r="AM142" s="797"/>
    </row>
    <row r="143" spans="1:39" ht="18" customHeight="1">
      <c r="A143" s="826">
        <v>89</v>
      </c>
      <c r="B143" s="720" t="s">
        <v>739</v>
      </c>
      <c r="C143" s="790" t="s">
        <v>697</v>
      </c>
      <c r="D143" s="719">
        <v>1969</v>
      </c>
      <c r="E143" s="799" t="s">
        <v>789</v>
      </c>
      <c r="F143" s="827" t="s">
        <v>1340</v>
      </c>
      <c r="G143" s="719">
        <v>1</v>
      </c>
      <c r="H143" s="791" t="s">
        <v>1291</v>
      </c>
      <c r="I143" s="795">
        <v>5.89</v>
      </c>
      <c r="J143" s="790">
        <f>I143*I260</f>
        <v>490048</v>
      </c>
      <c r="K143" s="797"/>
      <c r="L143" s="790"/>
      <c r="M143" s="790">
        <f aca="true" t="shared" si="49" ref="M143:M148">SUM(J143:L143)</f>
        <v>490048</v>
      </c>
      <c r="N143" s="790">
        <v>1</v>
      </c>
      <c r="O143" s="791" t="s">
        <v>1289</v>
      </c>
      <c r="P143" s="795">
        <v>5.89</v>
      </c>
      <c r="Q143" s="790">
        <f>P143*83200</f>
        <v>490048</v>
      </c>
      <c r="R143" s="797"/>
      <c r="S143" s="790"/>
      <c r="T143" s="790">
        <f>Q143+R143+S143</f>
        <v>490048</v>
      </c>
      <c r="U143" s="718">
        <f aca="true" t="shared" si="50" ref="U143:U154">+G143-N143</f>
        <v>0</v>
      </c>
      <c r="V143" s="719">
        <f aca="true" t="shared" si="51" ref="V143:Y154">J143-Q143</f>
        <v>0</v>
      </c>
      <c r="W143" s="718">
        <f t="shared" si="51"/>
        <v>0</v>
      </c>
      <c r="X143" s="719">
        <f t="shared" si="51"/>
        <v>0</v>
      </c>
      <c r="Y143" s="719">
        <f t="shared" si="51"/>
        <v>0</v>
      </c>
      <c r="Z143" s="790">
        <v>1</v>
      </c>
      <c r="AA143" s="791" t="s">
        <v>1292</v>
      </c>
      <c r="AB143" s="795">
        <v>6.09</v>
      </c>
      <c r="AC143" s="790">
        <f>AB143*I260</f>
        <v>506688</v>
      </c>
      <c r="AD143" s="790"/>
      <c r="AE143" s="790"/>
      <c r="AF143" s="790">
        <f aca="true" t="shared" si="52" ref="AF143:AF154">AC143+AD143+AE143</f>
        <v>506688</v>
      </c>
      <c r="AG143" s="790">
        <v>1</v>
      </c>
      <c r="AH143" s="791" t="s">
        <v>1322</v>
      </c>
      <c r="AI143" s="795">
        <v>6.09</v>
      </c>
      <c r="AJ143" s="719">
        <f>AI143*I260</f>
        <v>506688</v>
      </c>
      <c r="AK143" s="797"/>
      <c r="AL143" s="797"/>
      <c r="AM143" s="790">
        <f aca="true" t="shared" si="53" ref="AM143:AM154">AJ143+AK143+AL143</f>
        <v>506688</v>
      </c>
    </row>
    <row r="144" spans="1:39" ht="18" customHeight="1">
      <c r="A144" s="826">
        <v>90</v>
      </c>
      <c r="B144" s="720" t="s">
        <v>745</v>
      </c>
      <c r="C144" s="790" t="s">
        <v>697</v>
      </c>
      <c r="D144" s="719">
        <v>1997</v>
      </c>
      <c r="E144" s="799" t="s">
        <v>788</v>
      </c>
      <c r="F144" s="827" t="s">
        <v>1341</v>
      </c>
      <c r="G144" s="719">
        <v>1</v>
      </c>
      <c r="H144" s="791" t="s">
        <v>1342</v>
      </c>
      <c r="I144" s="795">
        <v>4.01</v>
      </c>
      <c r="J144" s="790">
        <f>I144*I260</f>
        <v>333632</v>
      </c>
      <c r="K144" s="797"/>
      <c r="L144" s="790"/>
      <c r="M144" s="790">
        <f t="shared" si="49"/>
        <v>333632</v>
      </c>
      <c r="N144" s="790">
        <v>1</v>
      </c>
      <c r="O144" s="791" t="s">
        <v>1343</v>
      </c>
      <c r="P144" s="795">
        <v>3.88</v>
      </c>
      <c r="Q144" s="790">
        <f>P144*83200</f>
        <v>322816</v>
      </c>
      <c r="R144" s="797"/>
      <c r="S144" s="790"/>
      <c r="T144" s="790">
        <f aca="true" t="shared" si="54" ref="T144:T154">Q144+R144+S144</f>
        <v>322816</v>
      </c>
      <c r="U144" s="718">
        <f t="shared" si="50"/>
        <v>0</v>
      </c>
      <c r="V144" s="719">
        <f t="shared" si="51"/>
        <v>10816</v>
      </c>
      <c r="W144" s="718">
        <f t="shared" si="51"/>
        <v>0</v>
      </c>
      <c r="X144" s="719">
        <f t="shared" si="51"/>
        <v>0</v>
      </c>
      <c r="Y144" s="719">
        <f t="shared" si="51"/>
        <v>10816</v>
      </c>
      <c r="Z144" s="790">
        <v>1</v>
      </c>
      <c r="AA144" s="791" t="s">
        <v>1344</v>
      </c>
      <c r="AB144" s="795">
        <v>4.14</v>
      </c>
      <c r="AC144" s="790">
        <f>AB144*I260</f>
        <v>344448</v>
      </c>
      <c r="AD144" s="790"/>
      <c r="AE144" s="790"/>
      <c r="AF144" s="790">
        <f t="shared" si="52"/>
        <v>344448</v>
      </c>
      <c r="AG144" s="790">
        <v>1</v>
      </c>
      <c r="AH144" s="791" t="s">
        <v>1345</v>
      </c>
      <c r="AI144" s="795">
        <v>4.27</v>
      </c>
      <c r="AJ144" s="719">
        <f>AI144*I260</f>
        <v>355263.99999999994</v>
      </c>
      <c r="AK144" s="797"/>
      <c r="AL144" s="797"/>
      <c r="AM144" s="790">
        <f t="shared" si="53"/>
        <v>355263.99999999994</v>
      </c>
    </row>
    <row r="145" spans="1:39" ht="18" customHeight="1">
      <c r="A145" s="826">
        <v>91</v>
      </c>
      <c r="B145" s="720" t="s">
        <v>740</v>
      </c>
      <c r="C145" s="790" t="s">
        <v>697</v>
      </c>
      <c r="D145" s="719">
        <v>1971</v>
      </c>
      <c r="E145" s="799" t="s">
        <v>788</v>
      </c>
      <c r="F145" s="827" t="s">
        <v>1346</v>
      </c>
      <c r="G145" s="719">
        <v>1</v>
      </c>
      <c r="H145" s="791" t="s">
        <v>1260</v>
      </c>
      <c r="I145" s="795">
        <v>5.01</v>
      </c>
      <c r="J145" s="790">
        <f>I145*I260</f>
        <v>416832</v>
      </c>
      <c r="K145" s="797"/>
      <c r="L145" s="790">
        <f>J145*5/100</f>
        <v>20841.6</v>
      </c>
      <c r="M145" s="719">
        <f t="shared" si="49"/>
        <v>437673.6</v>
      </c>
      <c r="N145" s="790">
        <v>1</v>
      </c>
      <c r="O145" s="791" t="s">
        <v>1261</v>
      </c>
      <c r="P145" s="795">
        <v>5.01</v>
      </c>
      <c r="Q145" s="790">
        <f>P145*83200</f>
        <v>416832</v>
      </c>
      <c r="R145" s="797"/>
      <c r="S145" s="790">
        <f>Q145*5/100</f>
        <v>20841.6</v>
      </c>
      <c r="T145" s="790">
        <f t="shared" si="54"/>
        <v>437673.6</v>
      </c>
      <c r="U145" s="718">
        <f t="shared" si="50"/>
        <v>0</v>
      </c>
      <c r="V145" s="719">
        <f t="shared" si="51"/>
        <v>0</v>
      </c>
      <c r="W145" s="718">
        <f t="shared" si="51"/>
        <v>0</v>
      </c>
      <c r="X145" s="719">
        <f t="shared" si="51"/>
        <v>0</v>
      </c>
      <c r="Y145" s="719">
        <f t="shared" si="51"/>
        <v>0</v>
      </c>
      <c r="Z145" s="790">
        <v>1</v>
      </c>
      <c r="AA145" s="791" t="s">
        <v>1262</v>
      </c>
      <c r="AB145" s="795">
        <v>5.01</v>
      </c>
      <c r="AC145" s="790">
        <f>AB145*I260</f>
        <v>416832</v>
      </c>
      <c r="AD145" s="790"/>
      <c r="AE145" s="790">
        <f>AC145*5/100</f>
        <v>20841.6</v>
      </c>
      <c r="AF145" s="719">
        <f t="shared" si="52"/>
        <v>437673.6</v>
      </c>
      <c r="AG145" s="790">
        <v>1</v>
      </c>
      <c r="AH145" s="791" t="s">
        <v>1263</v>
      </c>
      <c r="AI145" s="795">
        <v>5.17</v>
      </c>
      <c r="AJ145" s="719">
        <f>AI145*I260</f>
        <v>430144</v>
      </c>
      <c r="AK145" s="790"/>
      <c r="AL145" s="790">
        <f>AJ145*5/100</f>
        <v>21507.2</v>
      </c>
      <c r="AM145" s="719">
        <f t="shared" si="53"/>
        <v>451651.2</v>
      </c>
    </row>
    <row r="146" spans="1:39" ht="18" customHeight="1">
      <c r="A146" s="826">
        <v>92</v>
      </c>
      <c r="B146" s="720" t="s">
        <v>741</v>
      </c>
      <c r="C146" s="790" t="s">
        <v>697</v>
      </c>
      <c r="D146" s="719">
        <v>1965</v>
      </c>
      <c r="E146" s="718" t="s">
        <v>790</v>
      </c>
      <c r="F146" s="827" t="s">
        <v>1347</v>
      </c>
      <c r="G146" s="719">
        <v>1</v>
      </c>
      <c r="H146" s="791" t="s">
        <v>1294</v>
      </c>
      <c r="I146" s="795">
        <v>3.64</v>
      </c>
      <c r="J146" s="790">
        <f>I146*I260</f>
        <v>302848</v>
      </c>
      <c r="K146" s="797"/>
      <c r="L146" s="790"/>
      <c r="M146" s="790">
        <f t="shared" si="49"/>
        <v>302848</v>
      </c>
      <c r="N146" s="790">
        <v>1</v>
      </c>
      <c r="O146" s="791" t="s">
        <v>1295</v>
      </c>
      <c r="P146" s="795">
        <v>3.64</v>
      </c>
      <c r="Q146" s="790">
        <f>P146*83200</f>
        <v>302848</v>
      </c>
      <c r="R146" s="797"/>
      <c r="S146" s="790"/>
      <c r="T146" s="790">
        <f t="shared" si="54"/>
        <v>302848</v>
      </c>
      <c r="U146" s="718">
        <f t="shared" si="50"/>
        <v>0</v>
      </c>
      <c r="V146" s="719">
        <f t="shared" si="51"/>
        <v>0</v>
      </c>
      <c r="W146" s="718">
        <f t="shared" si="51"/>
        <v>0</v>
      </c>
      <c r="X146" s="719">
        <f t="shared" si="51"/>
        <v>0</v>
      </c>
      <c r="Y146" s="719">
        <f t="shared" si="51"/>
        <v>0</v>
      </c>
      <c r="Z146" s="790">
        <v>1</v>
      </c>
      <c r="AA146" s="791" t="s">
        <v>1296</v>
      </c>
      <c r="AB146" s="795">
        <v>3.76</v>
      </c>
      <c r="AC146" s="790">
        <f>AB146*I260</f>
        <v>312832</v>
      </c>
      <c r="AD146" s="790"/>
      <c r="AE146" s="790"/>
      <c r="AF146" s="790">
        <f t="shared" si="52"/>
        <v>312832</v>
      </c>
      <c r="AG146" s="790">
        <v>1</v>
      </c>
      <c r="AH146" s="791" t="s">
        <v>1297</v>
      </c>
      <c r="AI146" s="795">
        <v>3.76</v>
      </c>
      <c r="AJ146" s="719">
        <f>AI146*I260</f>
        <v>312832</v>
      </c>
      <c r="AK146" s="797"/>
      <c r="AL146" s="797"/>
      <c r="AM146" s="719">
        <f t="shared" si="53"/>
        <v>312832</v>
      </c>
    </row>
    <row r="147" spans="1:39" s="837" customFormat="1" ht="18" customHeight="1">
      <c r="A147" s="826">
        <v>93</v>
      </c>
      <c r="B147" s="828" t="s">
        <v>742</v>
      </c>
      <c r="C147" s="829" t="s">
        <v>697</v>
      </c>
      <c r="D147" s="830">
        <v>1966</v>
      </c>
      <c r="E147" s="831" t="s">
        <v>790</v>
      </c>
      <c r="F147" s="827" t="s">
        <v>1348</v>
      </c>
      <c r="G147" s="830">
        <v>1</v>
      </c>
      <c r="H147" s="834">
        <v>27</v>
      </c>
      <c r="I147" s="835">
        <v>4.4</v>
      </c>
      <c r="J147" s="829">
        <f>IF((I147*I260)&lt;416250,416250,I147*I260)</f>
        <v>416250</v>
      </c>
      <c r="K147" s="836"/>
      <c r="L147" s="829">
        <f>J147*5/100</f>
        <v>20812.5</v>
      </c>
      <c r="M147" s="829">
        <f t="shared" si="49"/>
        <v>437062.5</v>
      </c>
      <c r="N147" s="829">
        <v>1</v>
      </c>
      <c r="O147" s="834" t="s">
        <v>1302</v>
      </c>
      <c r="P147" s="835">
        <v>4.4</v>
      </c>
      <c r="Q147" s="829">
        <f>IF((P147*83200)&lt;416250,416250,P147*83200)</f>
        <v>416250</v>
      </c>
      <c r="R147" s="836"/>
      <c r="S147" s="830">
        <f>Q147*5/100</f>
        <v>20812.5</v>
      </c>
      <c r="T147" s="830">
        <f t="shared" si="54"/>
        <v>437062.5</v>
      </c>
      <c r="U147" s="831">
        <f t="shared" si="50"/>
        <v>0</v>
      </c>
      <c r="V147" s="830">
        <f t="shared" si="51"/>
        <v>0</v>
      </c>
      <c r="W147" s="831">
        <f t="shared" si="51"/>
        <v>0</v>
      </c>
      <c r="X147" s="830">
        <f t="shared" si="51"/>
        <v>0</v>
      </c>
      <c r="Y147" s="830">
        <f t="shared" si="51"/>
        <v>0</v>
      </c>
      <c r="Z147" s="829">
        <v>1</v>
      </c>
      <c r="AA147" s="834">
        <v>28</v>
      </c>
      <c r="AB147" s="835">
        <v>4.4</v>
      </c>
      <c r="AC147" s="829">
        <f>IF((AB147*I260)&lt;416250,416250,AB147*I260)</f>
        <v>416250</v>
      </c>
      <c r="AD147" s="829"/>
      <c r="AE147" s="829">
        <f>AC147*5/100</f>
        <v>20812.5</v>
      </c>
      <c r="AF147" s="830">
        <f t="shared" si="52"/>
        <v>437062.5</v>
      </c>
      <c r="AG147" s="829">
        <v>1</v>
      </c>
      <c r="AH147" s="834">
        <v>29</v>
      </c>
      <c r="AI147" s="835">
        <v>4.4</v>
      </c>
      <c r="AJ147" s="829">
        <f>IF((AI147*I260)&lt;416250,416250,AI147*I260)</f>
        <v>416250</v>
      </c>
      <c r="AK147" s="836"/>
      <c r="AL147" s="829">
        <f>AJ147*5/100</f>
        <v>20812.5</v>
      </c>
      <c r="AM147" s="830">
        <f t="shared" si="53"/>
        <v>437062.5</v>
      </c>
    </row>
    <row r="148" spans="1:39" ht="18" customHeight="1">
      <c r="A148" s="826">
        <v>94</v>
      </c>
      <c r="B148" s="720" t="s">
        <v>743</v>
      </c>
      <c r="C148" s="790" t="s">
        <v>697</v>
      </c>
      <c r="D148" s="719">
        <v>1974</v>
      </c>
      <c r="E148" s="718" t="s">
        <v>790</v>
      </c>
      <c r="F148" s="827" t="s">
        <v>1349</v>
      </c>
      <c r="G148" s="719">
        <v>1</v>
      </c>
      <c r="H148" s="791" t="s">
        <v>1350</v>
      </c>
      <c r="I148" s="795">
        <v>3.53</v>
      </c>
      <c r="J148" s="790">
        <f>I148*I260</f>
        <v>293696</v>
      </c>
      <c r="K148" s="797"/>
      <c r="L148" s="790"/>
      <c r="M148" s="790">
        <f t="shared" si="49"/>
        <v>293696</v>
      </c>
      <c r="N148" s="790">
        <v>1</v>
      </c>
      <c r="O148" s="791" t="s">
        <v>1351</v>
      </c>
      <c r="P148" s="795">
        <v>3.42</v>
      </c>
      <c r="Q148" s="790">
        <f aca="true" t="shared" si="55" ref="Q148:Q154">P148*83200</f>
        <v>284544</v>
      </c>
      <c r="R148" s="797"/>
      <c r="S148" s="790"/>
      <c r="T148" s="790">
        <f t="shared" si="54"/>
        <v>284544</v>
      </c>
      <c r="U148" s="718">
        <f t="shared" si="50"/>
        <v>0</v>
      </c>
      <c r="V148" s="719">
        <f t="shared" si="51"/>
        <v>9152</v>
      </c>
      <c r="W148" s="718">
        <f t="shared" si="51"/>
        <v>0</v>
      </c>
      <c r="X148" s="719">
        <f t="shared" si="51"/>
        <v>0</v>
      </c>
      <c r="Y148" s="719">
        <f t="shared" si="51"/>
        <v>9152</v>
      </c>
      <c r="Z148" s="790">
        <v>1</v>
      </c>
      <c r="AA148" s="791" t="s">
        <v>1315</v>
      </c>
      <c r="AB148" s="795">
        <v>3.64</v>
      </c>
      <c r="AC148" s="790">
        <f>AB148*I260</f>
        <v>302848</v>
      </c>
      <c r="AD148" s="790"/>
      <c r="AE148" s="790"/>
      <c r="AF148" s="790">
        <f t="shared" si="52"/>
        <v>302848</v>
      </c>
      <c r="AG148" s="790">
        <v>1</v>
      </c>
      <c r="AH148" s="791" t="s">
        <v>1314</v>
      </c>
      <c r="AI148" s="795">
        <v>3.64</v>
      </c>
      <c r="AJ148" s="719">
        <f>AI148*I260</f>
        <v>302848</v>
      </c>
      <c r="AK148" s="797"/>
      <c r="AL148" s="797"/>
      <c r="AM148" s="719">
        <f t="shared" si="53"/>
        <v>302848</v>
      </c>
    </row>
    <row r="149" spans="1:39" ht="18" customHeight="1">
      <c r="A149" s="826">
        <v>95</v>
      </c>
      <c r="B149" s="720" t="s">
        <v>744</v>
      </c>
      <c r="C149" s="790" t="s">
        <v>697</v>
      </c>
      <c r="D149" s="719">
        <v>1980</v>
      </c>
      <c r="E149" s="718" t="s">
        <v>790</v>
      </c>
      <c r="F149" s="827" t="s">
        <v>1352</v>
      </c>
      <c r="G149" s="719">
        <v>1</v>
      </c>
      <c r="H149" s="791" t="s">
        <v>1283</v>
      </c>
      <c r="I149" s="795">
        <v>4.01</v>
      </c>
      <c r="J149" s="790">
        <f>I149*I260</f>
        <v>333632</v>
      </c>
      <c r="K149" s="797"/>
      <c r="L149" s="719">
        <f>J149*5/100</f>
        <v>16681.6</v>
      </c>
      <c r="M149" s="719">
        <f>J149+K149+L149</f>
        <v>350313.6</v>
      </c>
      <c r="N149" s="719">
        <v>1</v>
      </c>
      <c r="O149" s="791" t="s">
        <v>1284</v>
      </c>
      <c r="P149" s="795">
        <v>4.01</v>
      </c>
      <c r="Q149" s="790">
        <f t="shared" si="55"/>
        <v>333632</v>
      </c>
      <c r="R149" s="797"/>
      <c r="S149" s="719">
        <f>Q149*5/100</f>
        <v>16681.6</v>
      </c>
      <c r="T149" s="719">
        <f t="shared" si="54"/>
        <v>350313.6</v>
      </c>
      <c r="U149" s="718">
        <f t="shared" si="50"/>
        <v>0</v>
      </c>
      <c r="V149" s="719">
        <f t="shared" si="51"/>
        <v>0</v>
      </c>
      <c r="W149" s="718">
        <f t="shared" si="51"/>
        <v>0</v>
      </c>
      <c r="X149" s="719">
        <f t="shared" si="51"/>
        <v>0</v>
      </c>
      <c r="Y149" s="719">
        <f t="shared" si="51"/>
        <v>0</v>
      </c>
      <c r="Z149" s="719">
        <v>1</v>
      </c>
      <c r="AA149" s="791" t="s">
        <v>1250</v>
      </c>
      <c r="AB149" s="795">
        <v>4.01</v>
      </c>
      <c r="AC149" s="790">
        <f>AB149*I260</f>
        <v>333632</v>
      </c>
      <c r="AD149" s="797"/>
      <c r="AE149" s="790">
        <f>AC149*5/100</f>
        <v>16681.6</v>
      </c>
      <c r="AF149" s="719">
        <f>AC149+AD149+AE149</f>
        <v>350313.6</v>
      </c>
      <c r="AG149" s="719">
        <v>1</v>
      </c>
      <c r="AH149" s="791" t="s">
        <v>1249</v>
      </c>
      <c r="AI149" s="795">
        <v>4.13</v>
      </c>
      <c r="AJ149" s="719">
        <f>AI149*I260</f>
        <v>343616</v>
      </c>
      <c r="AK149" s="797"/>
      <c r="AL149" s="790">
        <f>AJ149*5/100</f>
        <v>17180.8</v>
      </c>
      <c r="AM149" s="719">
        <f t="shared" si="53"/>
        <v>360796.8</v>
      </c>
    </row>
    <row r="150" spans="1:39" ht="18" customHeight="1">
      <c r="A150" s="826">
        <v>96</v>
      </c>
      <c r="B150" s="720"/>
      <c r="C150" s="790"/>
      <c r="D150" s="719"/>
      <c r="E150" s="718" t="s">
        <v>790</v>
      </c>
      <c r="F150" s="827" t="s">
        <v>1353</v>
      </c>
      <c r="G150" s="719">
        <v>1</v>
      </c>
      <c r="H150" s="791">
        <v>1</v>
      </c>
      <c r="I150" s="795">
        <v>3.76</v>
      </c>
      <c r="J150" s="790">
        <f>I150*I260</f>
        <v>312832</v>
      </c>
      <c r="K150" s="797"/>
      <c r="L150" s="790"/>
      <c r="M150" s="790">
        <f>J150+K150+L150</f>
        <v>312832</v>
      </c>
      <c r="N150" s="790">
        <v>1</v>
      </c>
      <c r="O150" s="791">
        <v>0</v>
      </c>
      <c r="P150" s="795">
        <v>3.76</v>
      </c>
      <c r="Q150" s="790">
        <f t="shared" si="55"/>
        <v>312832</v>
      </c>
      <c r="R150" s="797"/>
      <c r="S150" s="719"/>
      <c r="T150" s="719">
        <f t="shared" si="54"/>
        <v>312832</v>
      </c>
      <c r="U150" s="718">
        <f t="shared" si="50"/>
        <v>0</v>
      </c>
      <c r="V150" s="719">
        <f t="shared" si="51"/>
        <v>0</v>
      </c>
      <c r="W150" s="718">
        <f t="shared" si="51"/>
        <v>0</v>
      </c>
      <c r="X150" s="719">
        <f t="shared" si="51"/>
        <v>0</v>
      </c>
      <c r="Y150" s="719">
        <f t="shared" si="51"/>
        <v>0</v>
      </c>
      <c r="Z150" s="790">
        <v>1</v>
      </c>
      <c r="AA150" s="791">
        <v>2</v>
      </c>
      <c r="AB150" s="795">
        <v>3.76</v>
      </c>
      <c r="AC150" s="790">
        <f>AB150*I260</f>
        <v>312832</v>
      </c>
      <c r="AD150" s="790"/>
      <c r="AE150" s="790"/>
      <c r="AF150" s="719">
        <f>SUM(AC150:AE150)</f>
        <v>312832</v>
      </c>
      <c r="AG150" s="790">
        <v>1</v>
      </c>
      <c r="AH150" s="791">
        <v>3</v>
      </c>
      <c r="AI150" s="795">
        <v>3.76</v>
      </c>
      <c r="AJ150" s="790">
        <f>AI150*I260</f>
        <v>312832</v>
      </c>
      <c r="AK150" s="797"/>
      <c r="AL150" s="790"/>
      <c r="AM150" s="719">
        <f>SUM(AJ150:AL150)</f>
        <v>312832</v>
      </c>
    </row>
    <row r="151" spans="1:39" s="837" customFormat="1" ht="18" customHeight="1">
      <c r="A151" s="826">
        <v>97</v>
      </c>
      <c r="B151" s="828"/>
      <c r="C151" s="829"/>
      <c r="D151" s="830"/>
      <c r="E151" s="567" t="s">
        <v>790</v>
      </c>
      <c r="F151" s="827" t="s">
        <v>1354</v>
      </c>
      <c r="G151" s="838">
        <v>1</v>
      </c>
      <c r="H151" s="832">
        <v>1</v>
      </c>
      <c r="I151" s="563">
        <v>3.76</v>
      </c>
      <c r="J151" s="561">
        <f>I151*I260</f>
        <v>312832</v>
      </c>
      <c r="K151" s="602"/>
      <c r="L151" s="561"/>
      <c r="M151" s="561">
        <f>SUM(J151:L151)</f>
        <v>312832</v>
      </c>
      <c r="N151" s="561">
        <v>1</v>
      </c>
      <c r="O151" s="832">
        <v>0</v>
      </c>
      <c r="P151" s="563">
        <v>3.76</v>
      </c>
      <c r="Q151" s="561">
        <f t="shared" si="55"/>
        <v>312832</v>
      </c>
      <c r="R151" s="602"/>
      <c r="S151" s="561"/>
      <c r="T151" s="561">
        <f t="shared" si="54"/>
        <v>312832</v>
      </c>
      <c r="U151" s="567">
        <f t="shared" si="50"/>
        <v>0</v>
      </c>
      <c r="V151" s="833">
        <f t="shared" si="51"/>
        <v>0</v>
      </c>
      <c r="W151" s="567">
        <f t="shared" si="51"/>
        <v>0</v>
      </c>
      <c r="X151" s="833">
        <f t="shared" si="51"/>
        <v>0</v>
      </c>
      <c r="Y151" s="833">
        <f t="shared" si="51"/>
        <v>0</v>
      </c>
      <c r="Z151" s="561">
        <v>1</v>
      </c>
      <c r="AA151" s="832">
        <v>2</v>
      </c>
      <c r="AB151" s="563">
        <v>3.76</v>
      </c>
      <c r="AC151" s="561">
        <f>AB151*I260</f>
        <v>312832</v>
      </c>
      <c r="AD151" s="561"/>
      <c r="AE151" s="561"/>
      <c r="AF151" s="561">
        <f>SUM(AC151:AE151)</f>
        <v>312832</v>
      </c>
      <c r="AG151" s="561">
        <v>1</v>
      </c>
      <c r="AH151" s="832">
        <v>3</v>
      </c>
      <c r="AI151" s="563">
        <v>3.76</v>
      </c>
      <c r="AJ151" s="561">
        <f>AI151*I260</f>
        <v>312832</v>
      </c>
      <c r="AK151" s="602"/>
      <c r="AL151" s="561"/>
      <c r="AM151" s="561">
        <f>SUM(AJ151:AL151)</f>
        <v>312832</v>
      </c>
    </row>
    <row r="152" spans="1:39" s="837" customFormat="1" ht="18" customHeight="1">
      <c r="A152" s="826">
        <v>98</v>
      </c>
      <c r="B152" s="828"/>
      <c r="C152" s="829"/>
      <c r="D152" s="830"/>
      <c r="E152" s="567" t="s">
        <v>790</v>
      </c>
      <c r="F152" s="827" t="s">
        <v>1355</v>
      </c>
      <c r="G152" s="838">
        <v>1</v>
      </c>
      <c r="H152" s="832">
        <v>1</v>
      </c>
      <c r="I152" s="563">
        <v>3.76</v>
      </c>
      <c r="J152" s="561">
        <f>I152*I260</f>
        <v>312832</v>
      </c>
      <c r="K152" s="602"/>
      <c r="L152" s="561"/>
      <c r="M152" s="561">
        <f>SUM(J152:L152)</f>
        <v>312832</v>
      </c>
      <c r="N152" s="561">
        <v>1</v>
      </c>
      <c r="O152" s="832">
        <v>0</v>
      </c>
      <c r="P152" s="563">
        <v>3.76</v>
      </c>
      <c r="Q152" s="561">
        <f t="shared" si="55"/>
        <v>312832</v>
      </c>
      <c r="R152" s="602"/>
      <c r="S152" s="561"/>
      <c r="T152" s="561">
        <f t="shared" si="54"/>
        <v>312832</v>
      </c>
      <c r="U152" s="567">
        <f t="shared" si="50"/>
        <v>0</v>
      </c>
      <c r="V152" s="833">
        <f t="shared" si="51"/>
        <v>0</v>
      </c>
      <c r="W152" s="567">
        <f t="shared" si="51"/>
        <v>0</v>
      </c>
      <c r="X152" s="833">
        <f t="shared" si="51"/>
        <v>0</v>
      </c>
      <c r="Y152" s="833">
        <f t="shared" si="51"/>
        <v>0</v>
      </c>
      <c r="Z152" s="561">
        <v>1</v>
      </c>
      <c r="AA152" s="832">
        <v>2</v>
      </c>
      <c r="AB152" s="563">
        <v>3.76</v>
      </c>
      <c r="AC152" s="561">
        <f>AB152*I260</f>
        <v>312832</v>
      </c>
      <c r="AD152" s="561"/>
      <c r="AE152" s="561"/>
      <c r="AF152" s="561">
        <f>SUM(AC152:AE152)</f>
        <v>312832</v>
      </c>
      <c r="AG152" s="561">
        <v>1</v>
      </c>
      <c r="AH152" s="832">
        <v>3</v>
      </c>
      <c r="AI152" s="563">
        <v>3.76</v>
      </c>
      <c r="AJ152" s="561">
        <f>AI152*I260</f>
        <v>312832</v>
      </c>
      <c r="AK152" s="602"/>
      <c r="AL152" s="561"/>
      <c r="AM152" s="561">
        <f>SUM(AJ152:AL152)</f>
        <v>312832</v>
      </c>
    </row>
    <row r="153" spans="1:39" s="837" customFormat="1" ht="18" customHeight="1">
      <c r="A153" s="826">
        <v>99</v>
      </c>
      <c r="B153" s="828"/>
      <c r="C153" s="829"/>
      <c r="D153" s="830"/>
      <c r="E153" s="567" t="s">
        <v>790</v>
      </c>
      <c r="F153" s="827" t="s">
        <v>1356</v>
      </c>
      <c r="G153" s="838">
        <v>1</v>
      </c>
      <c r="H153" s="832">
        <v>1</v>
      </c>
      <c r="I153" s="563">
        <v>3.76</v>
      </c>
      <c r="J153" s="561">
        <f>I153*I260</f>
        <v>312832</v>
      </c>
      <c r="K153" s="602"/>
      <c r="L153" s="561"/>
      <c r="M153" s="561">
        <f>SUM(J153:L153)</f>
        <v>312832</v>
      </c>
      <c r="N153" s="561">
        <v>1</v>
      </c>
      <c r="O153" s="832">
        <v>0</v>
      </c>
      <c r="P153" s="563">
        <v>3.76</v>
      </c>
      <c r="Q153" s="561">
        <f t="shared" si="55"/>
        <v>312832</v>
      </c>
      <c r="R153" s="602"/>
      <c r="S153" s="561"/>
      <c r="T153" s="561">
        <f t="shared" si="54"/>
        <v>312832</v>
      </c>
      <c r="U153" s="567">
        <f t="shared" si="50"/>
        <v>0</v>
      </c>
      <c r="V153" s="833">
        <f t="shared" si="51"/>
        <v>0</v>
      </c>
      <c r="W153" s="567">
        <f t="shared" si="51"/>
        <v>0</v>
      </c>
      <c r="X153" s="833">
        <f t="shared" si="51"/>
        <v>0</v>
      </c>
      <c r="Y153" s="833">
        <f t="shared" si="51"/>
        <v>0</v>
      </c>
      <c r="Z153" s="561">
        <v>1</v>
      </c>
      <c r="AA153" s="832">
        <v>2</v>
      </c>
      <c r="AB153" s="563">
        <v>3.76</v>
      </c>
      <c r="AC153" s="561">
        <f>AB153*I260</f>
        <v>312832</v>
      </c>
      <c r="AD153" s="561"/>
      <c r="AE153" s="561"/>
      <c r="AF153" s="561">
        <f>SUM(AC153:AE153)</f>
        <v>312832</v>
      </c>
      <c r="AG153" s="561">
        <v>1</v>
      </c>
      <c r="AH153" s="832">
        <v>3</v>
      </c>
      <c r="AI153" s="563">
        <v>3.76</v>
      </c>
      <c r="AJ153" s="561">
        <f>AI153*I260</f>
        <v>312832</v>
      </c>
      <c r="AK153" s="602"/>
      <c r="AL153" s="561"/>
      <c r="AM153" s="561">
        <f>SUM(AJ153:AL153)</f>
        <v>312832</v>
      </c>
    </row>
    <row r="154" spans="1:39" ht="18" customHeight="1">
      <c r="A154" s="826">
        <v>100</v>
      </c>
      <c r="B154" s="720"/>
      <c r="C154" s="790"/>
      <c r="D154" s="719"/>
      <c r="E154" s="718" t="s">
        <v>790</v>
      </c>
      <c r="F154" s="827" t="s">
        <v>1357</v>
      </c>
      <c r="G154" s="719">
        <v>1</v>
      </c>
      <c r="H154" s="791">
        <v>1</v>
      </c>
      <c r="I154" s="817">
        <v>3.76</v>
      </c>
      <c r="J154" s="790">
        <f>I154*I260</f>
        <v>312832</v>
      </c>
      <c r="K154" s="797"/>
      <c r="L154" s="790"/>
      <c r="M154" s="790">
        <f>SUM(J154:L154)</f>
        <v>312832</v>
      </c>
      <c r="N154" s="790">
        <v>1</v>
      </c>
      <c r="O154" s="791">
        <v>0</v>
      </c>
      <c r="P154" s="817">
        <v>3.76</v>
      </c>
      <c r="Q154" s="790">
        <f t="shared" si="55"/>
        <v>312832</v>
      </c>
      <c r="R154" s="797"/>
      <c r="S154" s="790"/>
      <c r="T154" s="790">
        <f t="shared" si="54"/>
        <v>312832</v>
      </c>
      <c r="U154" s="718">
        <f t="shared" si="50"/>
        <v>0</v>
      </c>
      <c r="V154" s="719">
        <f t="shared" si="51"/>
        <v>0</v>
      </c>
      <c r="W154" s="718">
        <f t="shared" si="51"/>
        <v>0</v>
      </c>
      <c r="X154" s="719">
        <f t="shared" si="51"/>
        <v>0</v>
      </c>
      <c r="Y154" s="719">
        <f t="shared" si="51"/>
        <v>0</v>
      </c>
      <c r="Z154" s="790">
        <v>1</v>
      </c>
      <c r="AA154" s="791">
        <v>25</v>
      </c>
      <c r="AB154" s="817">
        <v>3.76</v>
      </c>
      <c r="AC154" s="790">
        <f>AB154*I260</f>
        <v>312832</v>
      </c>
      <c r="AD154" s="790"/>
      <c r="AE154" s="790"/>
      <c r="AF154" s="790">
        <f t="shared" si="52"/>
        <v>312832</v>
      </c>
      <c r="AG154" s="790">
        <v>1</v>
      </c>
      <c r="AH154" s="791">
        <v>3</v>
      </c>
      <c r="AI154" s="817">
        <v>3.76</v>
      </c>
      <c r="AJ154" s="719">
        <f>AI154*I260</f>
        <v>312832</v>
      </c>
      <c r="AK154" s="797"/>
      <c r="AL154" s="797"/>
      <c r="AM154" s="719">
        <f t="shared" si="53"/>
        <v>312832</v>
      </c>
    </row>
    <row r="155" spans="1:39" s="740" customFormat="1" ht="18" customHeight="1">
      <c r="A155" s="818"/>
      <c r="B155" s="811" t="s">
        <v>132</v>
      </c>
      <c r="C155" s="792"/>
      <c r="D155" s="814"/>
      <c r="E155" s="815"/>
      <c r="F155" s="815"/>
      <c r="G155" s="814">
        <f>SUM(G143:G154)</f>
        <v>12</v>
      </c>
      <c r="H155" s="816" t="s">
        <v>1</v>
      </c>
      <c r="I155" s="817" t="s">
        <v>1</v>
      </c>
      <c r="J155" s="814">
        <f>SUM(J143:J154)</f>
        <v>4151098</v>
      </c>
      <c r="K155" s="814">
        <f>SUM(K143:K154)</f>
        <v>0</v>
      </c>
      <c r="L155" s="814">
        <f>SUM(L143:L154)</f>
        <v>58335.7</v>
      </c>
      <c r="M155" s="814">
        <f>SUM(M143:M154)</f>
        <v>4209433.7</v>
      </c>
      <c r="N155" s="814">
        <f>SUM(N143:N154)</f>
        <v>12</v>
      </c>
      <c r="O155" s="816" t="s">
        <v>1</v>
      </c>
      <c r="P155" s="817" t="s">
        <v>1</v>
      </c>
      <c r="Q155" s="814">
        <f aca="true" t="shared" si="56" ref="Q155:Z155">SUM(Q143:Q154)</f>
        <v>4131130</v>
      </c>
      <c r="R155" s="814">
        <f t="shared" si="56"/>
        <v>0</v>
      </c>
      <c r="S155" s="814">
        <f t="shared" si="56"/>
        <v>58335.7</v>
      </c>
      <c r="T155" s="814">
        <f t="shared" si="56"/>
        <v>4189465.7</v>
      </c>
      <c r="U155" s="814">
        <f t="shared" si="56"/>
        <v>0</v>
      </c>
      <c r="V155" s="814">
        <f t="shared" si="56"/>
        <v>19968</v>
      </c>
      <c r="W155" s="814">
        <f t="shared" si="56"/>
        <v>0</v>
      </c>
      <c r="X155" s="814">
        <f t="shared" si="56"/>
        <v>0</v>
      </c>
      <c r="Y155" s="814">
        <f t="shared" si="56"/>
        <v>19968</v>
      </c>
      <c r="Z155" s="792">
        <f t="shared" si="56"/>
        <v>12</v>
      </c>
      <c r="AA155" s="816" t="s">
        <v>1</v>
      </c>
      <c r="AB155" s="792" t="s">
        <v>1</v>
      </c>
      <c r="AC155" s="792">
        <f>SUM(AC143:AC154)</f>
        <v>4197690</v>
      </c>
      <c r="AD155" s="792">
        <f>SUM(AD143:AD154)</f>
        <v>0</v>
      </c>
      <c r="AE155" s="792">
        <f>SUM(AE143:AE154)</f>
        <v>58335.7</v>
      </c>
      <c r="AF155" s="814">
        <f>SUM(AF143:AF154)</f>
        <v>4256025.7</v>
      </c>
      <c r="AG155" s="792">
        <f>SUM(AG143:AG154)</f>
        <v>12</v>
      </c>
      <c r="AH155" s="816" t="s">
        <v>1</v>
      </c>
      <c r="AI155" s="792" t="s">
        <v>1</v>
      </c>
      <c r="AJ155" s="792">
        <f>SUM(AJ143:AJ154)</f>
        <v>4231802</v>
      </c>
      <c r="AK155" s="792">
        <f>SUM(AK143:AK154)</f>
        <v>0</v>
      </c>
      <c r="AL155" s="792">
        <f>SUM(AL143:AL154)</f>
        <v>59500.5</v>
      </c>
      <c r="AM155" s="814">
        <f>SUM(AM143:AM154)</f>
        <v>4291302.5</v>
      </c>
    </row>
    <row r="156" spans="1:39" s="740" customFormat="1" ht="18" customHeight="1">
      <c r="A156" s="818"/>
      <c r="B156" s="811"/>
      <c r="C156" s="792"/>
      <c r="D156" s="814"/>
      <c r="E156" s="815"/>
      <c r="F156" s="815"/>
      <c r="G156" s="814"/>
      <c r="H156" s="839"/>
      <c r="I156" s="861"/>
      <c r="J156" s="776"/>
      <c r="K156" s="776"/>
      <c r="L156" s="776"/>
      <c r="M156" s="776"/>
      <c r="N156" s="862"/>
      <c r="O156" s="816"/>
      <c r="P156" s="817"/>
      <c r="Q156" s="814"/>
      <c r="R156" s="814"/>
      <c r="S156" s="814"/>
      <c r="T156" s="814"/>
      <c r="U156" s="814"/>
      <c r="V156" s="814"/>
      <c r="W156" s="814"/>
      <c r="X156" s="814"/>
      <c r="Y156" s="814"/>
      <c r="Z156" s="792"/>
      <c r="AA156" s="816"/>
      <c r="AB156" s="792"/>
      <c r="AC156" s="792"/>
      <c r="AD156" s="792"/>
      <c r="AE156" s="792"/>
      <c r="AF156" s="814"/>
      <c r="AG156" s="792"/>
      <c r="AH156" s="816"/>
      <c r="AI156" s="792"/>
      <c r="AJ156" s="792"/>
      <c r="AK156" s="792"/>
      <c r="AL156" s="130"/>
      <c r="AM156" s="840"/>
    </row>
    <row r="157" spans="1:37" s="825" customFormat="1" ht="18" customHeight="1">
      <c r="A157" s="818"/>
      <c r="B157" s="717" t="s">
        <v>131</v>
      </c>
      <c r="C157" s="792"/>
      <c r="D157" s="819"/>
      <c r="E157" s="717"/>
      <c r="F157" s="820"/>
      <c r="G157" s="819"/>
      <c r="H157" s="1135" t="s">
        <v>1358</v>
      </c>
      <c r="I157" s="1136"/>
      <c r="J157" s="1136"/>
      <c r="K157" s="1136"/>
      <c r="L157" s="1136"/>
      <c r="M157" s="1136"/>
      <c r="N157" s="1137"/>
      <c r="O157" s="821"/>
      <c r="P157" s="822"/>
      <c r="Q157" s="818"/>
      <c r="R157" s="717"/>
      <c r="S157" s="818"/>
      <c r="T157" s="819"/>
      <c r="U157" s="717"/>
      <c r="V157" s="823"/>
      <c r="W157" s="717"/>
      <c r="X157" s="823"/>
      <c r="Y157" s="819"/>
      <c r="Z157" s="820"/>
      <c r="AA157" s="821"/>
      <c r="AB157" s="818"/>
      <c r="AC157" s="818"/>
      <c r="AD157" s="818"/>
      <c r="AE157" s="818"/>
      <c r="AF157" s="820"/>
      <c r="AG157" s="820"/>
      <c r="AH157" s="824"/>
      <c r="AI157" s="717"/>
      <c r="AJ157" s="717"/>
      <c r="AK157" s="717"/>
    </row>
    <row r="158" spans="1:39" ht="18" customHeight="1">
      <c r="A158" s="826"/>
      <c r="B158" s="720"/>
      <c r="C158" s="790"/>
      <c r="D158" s="719"/>
      <c r="E158" s="718"/>
      <c r="F158" s="718"/>
      <c r="G158" s="719"/>
      <c r="H158" s="791"/>
      <c r="I158" s="795"/>
      <c r="J158" s="790"/>
      <c r="K158" s="797"/>
      <c r="L158" s="790"/>
      <c r="M158" s="790"/>
      <c r="N158" s="790"/>
      <c r="O158" s="791"/>
      <c r="P158" s="795"/>
      <c r="Q158" s="790"/>
      <c r="R158" s="797"/>
      <c r="S158" s="790"/>
      <c r="T158" s="790"/>
      <c r="U158" s="797"/>
      <c r="V158" s="798"/>
      <c r="W158" s="797"/>
      <c r="X158" s="798"/>
      <c r="Y158" s="798"/>
      <c r="Z158" s="790"/>
      <c r="AA158" s="791"/>
      <c r="AB158" s="718"/>
      <c r="AC158" s="790"/>
      <c r="AD158" s="790"/>
      <c r="AE158" s="790"/>
      <c r="AF158" s="790"/>
      <c r="AG158" s="790"/>
      <c r="AH158" s="791"/>
      <c r="AI158" s="718"/>
      <c r="AJ158" s="797"/>
      <c r="AK158" s="797"/>
      <c r="AL158" s="797"/>
      <c r="AM158" s="797"/>
    </row>
    <row r="159" spans="1:39" ht="18" customHeight="1">
      <c r="A159" s="826">
        <v>101</v>
      </c>
      <c r="B159" s="720" t="s">
        <v>757</v>
      </c>
      <c r="C159" s="790" t="s">
        <v>697</v>
      </c>
      <c r="D159" s="719">
        <v>1993</v>
      </c>
      <c r="E159" s="799" t="s">
        <v>789</v>
      </c>
      <c r="F159" s="827" t="s">
        <v>1359</v>
      </c>
      <c r="G159" s="719">
        <v>1</v>
      </c>
      <c r="H159" s="791" t="s">
        <v>1360</v>
      </c>
      <c r="I159" s="795">
        <v>4.86</v>
      </c>
      <c r="J159" s="790">
        <f>I159*I260</f>
        <v>404352</v>
      </c>
      <c r="K159" s="797"/>
      <c r="L159" s="790"/>
      <c r="M159" s="790">
        <f>J159+K159+L159</f>
        <v>404352</v>
      </c>
      <c r="N159" s="790">
        <v>1</v>
      </c>
      <c r="O159" s="791" t="s">
        <v>1361</v>
      </c>
      <c r="P159" s="795">
        <v>4.7</v>
      </c>
      <c r="Q159" s="790">
        <f aca="true" t="shared" si="57" ref="Q159:Q169">P159*83200</f>
        <v>391040</v>
      </c>
      <c r="R159" s="797"/>
      <c r="S159" s="790"/>
      <c r="T159" s="790">
        <f>Q159+R159+S159</f>
        <v>391040</v>
      </c>
      <c r="U159" s="718">
        <f>+G159-N159</f>
        <v>0</v>
      </c>
      <c r="V159" s="719">
        <f>J159-Q159</f>
        <v>13312</v>
      </c>
      <c r="W159" s="718">
        <f>K159-R159</f>
        <v>0</v>
      </c>
      <c r="X159" s="719">
        <f>L159-S159</f>
        <v>0</v>
      </c>
      <c r="Y159" s="719">
        <f>M159-T159</f>
        <v>13312</v>
      </c>
      <c r="Z159" s="790">
        <v>1</v>
      </c>
      <c r="AA159" s="791" t="s">
        <v>1151</v>
      </c>
      <c r="AB159" s="795">
        <v>5.01</v>
      </c>
      <c r="AC159" s="790">
        <f>AB159*I260</f>
        <v>416832</v>
      </c>
      <c r="AD159" s="790"/>
      <c r="AE159" s="790"/>
      <c r="AF159" s="790">
        <f>SUM(AC159:AE159)</f>
        <v>416832</v>
      </c>
      <c r="AG159" s="790">
        <v>1</v>
      </c>
      <c r="AH159" s="791" t="s">
        <v>1150</v>
      </c>
      <c r="AI159" s="795">
        <v>5.18</v>
      </c>
      <c r="AJ159" s="790">
        <f>AI159*I260</f>
        <v>430976</v>
      </c>
      <c r="AK159" s="797"/>
      <c r="AL159" s="797"/>
      <c r="AM159" s="790">
        <f>SUM(AJ159:AL159)</f>
        <v>430976</v>
      </c>
    </row>
    <row r="160" spans="1:39" ht="18" customHeight="1">
      <c r="A160" s="826">
        <v>102</v>
      </c>
      <c r="B160" s="720"/>
      <c r="C160" s="790"/>
      <c r="D160" s="719"/>
      <c r="E160" s="799" t="s">
        <v>788</v>
      </c>
      <c r="F160" s="827" t="s">
        <v>1362</v>
      </c>
      <c r="G160" s="719">
        <v>1</v>
      </c>
      <c r="H160" s="791">
        <v>1</v>
      </c>
      <c r="I160" s="795">
        <v>4.55</v>
      </c>
      <c r="J160" s="790">
        <f>I160*I260</f>
        <v>378560</v>
      </c>
      <c r="K160" s="797"/>
      <c r="L160" s="790"/>
      <c r="M160" s="790">
        <f>SUM(J160:L160)</f>
        <v>378560</v>
      </c>
      <c r="N160" s="790">
        <v>1</v>
      </c>
      <c r="O160" s="791">
        <v>0</v>
      </c>
      <c r="P160" s="795">
        <v>4.55</v>
      </c>
      <c r="Q160" s="790">
        <f t="shared" si="57"/>
        <v>378560</v>
      </c>
      <c r="R160" s="797"/>
      <c r="S160" s="790"/>
      <c r="T160" s="790">
        <f aca="true" t="shared" si="58" ref="T160:T169">Q160+R160+S160</f>
        <v>378560</v>
      </c>
      <c r="U160" s="718">
        <f aca="true" t="shared" si="59" ref="U160:U169">+G160-N160</f>
        <v>0</v>
      </c>
      <c r="V160" s="719">
        <f aca="true" t="shared" si="60" ref="V160:Y169">J160-Q160</f>
        <v>0</v>
      </c>
      <c r="W160" s="718">
        <f t="shared" si="60"/>
        <v>0</v>
      </c>
      <c r="X160" s="719">
        <f t="shared" si="60"/>
        <v>0</v>
      </c>
      <c r="Y160" s="719">
        <f t="shared" si="60"/>
        <v>0</v>
      </c>
      <c r="Z160" s="790">
        <v>1</v>
      </c>
      <c r="AA160" s="791">
        <v>2</v>
      </c>
      <c r="AB160" s="795">
        <v>4.55</v>
      </c>
      <c r="AC160" s="790">
        <f>AB160*I260</f>
        <v>378560</v>
      </c>
      <c r="AD160" s="790"/>
      <c r="AE160" s="790"/>
      <c r="AF160" s="790">
        <f>AC160+AD160+AE160</f>
        <v>378560</v>
      </c>
      <c r="AG160" s="790">
        <v>1</v>
      </c>
      <c r="AH160" s="791">
        <v>3</v>
      </c>
      <c r="AI160" s="795">
        <v>4.55</v>
      </c>
      <c r="AJ160" s="719">
        <f>AI160*I260</f>
        <v>378560</v>
      </c>
      <c r="AK160" s="797"/>
      <c r="AL160" s="797"/>
      <c r="AM160" s="790">
        <f>AJ160+AK160+AL160</f>
        <v>378560</v>
      </c>
    </row>
    <row r="161" spans="1:39" ht="18" customHeight="1">
      <c r="A161" s="826">
        <v>103</v>
      </c>
      <c r="B161" s="720"/>
      <c r="C161" s="790"/>
      <c r="D161" s="719"/>
      <c r="E161" s="718" t="s">
        <v>790</v>
      </c>
      <c r="F161" s="827" t="s">
        <v>1363</v>
      </c>
      <c r="G161" s="719">
        <v>1</v>
      </c>
      <c r="H161" s="791">
        <v>1</v>
      </c>
      <c r="I161" s="795">
        <v>3.76</v>
      </c>
      <c r="J161" s="790">
        <f>I161*I260</f>
        <v>312832</v>
      </c>
      <c r="K161" s="797"/>
      <c r="L161" s="790"/>
      <c r="M161" s="790">
        <f>J161+K161+L161</f>
        <v>312832</v>
      </c>
      <c r="N161" s="790">
        <v>1</v>
      </c>
      <c r="O161" s="791">
        <v>0</v>
      </c>
      <c r="P161" s="795">
        <v>3.76</v>
      </c>
      <c r="Q161" s="790">
        <f t="shared" si="57"/>
        <v>312832</v>
      </c>
      <c r="R161" s="797"/>
      <c r="S161" s="719"/>
      <c r="T161" s="719">
        <f t="shared" si="58"/>
        <v>312832</v>
      </c>
      <c r="U161" s="718">
        <f t="shared" si="59"/>
        <v>0</v>
      </c>
      <c r="V161" s="719">
        <f t="shared" si="60"/>
        <v>0</v>
      </c>
      <c r="W161" s="718">
        <f t="shared" si="60"/>
        <v>0</v>
      </c>
      <c r="X161" s="719">
        <f t="shared" si="60"/>
        <v>0</v>
      </c>
      <c r="Y161" s="719">
        <f t="shared" si="60"/>
        <v>0</v>
      </c>
      <c r="Z161" s="790">
        <v>1</v>
      </c>
      <c r="AA161" s="791">
        <v>2</v>
      </c>
      <c r="AB161" s="795">
        <v>3.76</v>
      </c>
      <c r="AC161" s="790">
        <f>AB161*I260</f>
        <v>312832</v>
      </c>
      <c r="AD161" s="790"/>
      <c r="AE161" s="790"/>
      <c r="AF161" s="719">
        <f>SUM(AC161:AE161)</f>
        <v>312832</v>
      </c>
      <c r="AG161" s="790">
        <v>1</v>
      </c>
      <c r="AH161" s="791">
        <v>3</v>
      </c>
      <c r="AI161" s="795">
        <v>3.76</v>
      </c>
      <c r="AJ161" s="790">
        <f>AI161*I260</f>
        <v>312832</v>
      </c>
      <c r="AK161" s="797"/>
      <c r="AL161" s="790"/>
      <c r="AM161" s="719">
        <f>SUM(AJ161:AL161)</f>
        <v>312832</v>
      </c>
    </row>
    <row r="162" spans="1:39" s="740" customFormat="1" ht="18" customHeight="1">
      <c r="A162" s="826">
        <v>104</v>
      </c>
      <c r="B162" s="717"/>
      <c r="C162" s="792"/>
      <c r="D162" s="814"/>
      <c r="E162" s="718" t="s">
        <v>790</v>
      </c>
      <c r="F162" s="827" t="s">
        <v>1364</v>
      </c>
      <c r="G162" s="719">
        <v>1</v>
      </c>
      <c r="H162" s="791">
        <v>1</v>
      </c>
      <c r="I162" s="795">
        <v>3.76</v>
      </c>
      <c r="J162" s="790">
        <f>I162*I260</f>
        <v>312832</v>
      </c>
      <c r="K162" s="797"/>
      <c r="L162" s="790"/>
      <c r="M162" s="790">
        <f>J162+K162+L162</f>
        <v>312832</v>
      </c>
      <c r="N162" s="790">
        <v>1</v>
      </c>
      <c r="O162" s="791">
        <v>0</v>
      </c>
      <c r="P162" s="795">
        <v>3.76</v>
      </c>
      <c r="Q162" s="790">
        <f t="shared" si="57"/>
        <v>312832</v>
      </c>
      <c r="R162" s="797"/>
      <c r="S162" s="790"/>
      <c r="T162" s="790">
        <f t="shared" si="58"/>
        <v>312832</v>
      </c>
      <c r="U162" s="718">
        <f t="shared" si="59"/>
        <v>0</v>
      </c>
      <c r="V162" s="719">
        <f t="shared" si="60"/>
        <v>0</v>
      </c>
      <c r="W162" s="718">
        <f t="shared" si="60"/>
        <v>0</v>
      </c>
      <c r="X162" s="719">
        <f t="shared" si="60"/>
        <v>0</v>
      </c>
      <c r="Y162" s="719">
        <f t="shared" si="60"/>
        <v>0</v>
      </c>
      <c r="Z162" s="790">
        <v>1</v>
      </c>
      <c r="AA162" s="791">
        <v>2</v>
      </c>
      <c r="AB162" s="795">
        <v>3.76</v>
      </c>
      <c r="AC162" s="790">
        <f>AB162*I260</f>
        <v>312832</v>
      </c>
      <c r="AD162" s="790"/>
      <c r="AE162" s="790"/>
      <c r="AF162" s="790">
        <f>+AC162+AD162</f>
        <v>312832</v>
      </c>
      <c r="AG162" s="790">
        <v>1</v>
      </c>
      <c r="AH162" s="791">
        <v>3</v>
      </c>
      <c r="AI162" s="795">
        <v>3.76</v>
      </c>
      <c r="AJ162" s="790">
        <f>AI162*I260</f>
        <v>312832</v>
      </c>
      <c r="AK162" s="797"/>
      <c r="AL162" s="797"/>
      <c r="AM162" s="790">
        <f>AJ162+AK162</f>
        <v>312832</v>
      </c>
    </row>
    <row r="163" spans="1:39" s="740" customFormat="1" ht="18" customHeight="1">
      <c r="A163" s="826">
        <v>105</v>
      </c>
      <c r="B163" s="717"/>
      <c r="C163" s="792"/>
      <c r="D163" s="814"/>
      <c r="E163" s="718" t="s">
        <v>790</v>
      </c>
      <c r="F163" s="827" t="s">
        <v>1365</v>
      </c>
      <c r="G163" s="719">
        <v>1</v>
      </c>
      <c r="H163" s="791">
        <v>1</v>
      </c>
      <c r="I163" s="795">
        <v>3.76</v>
      </c>
      <c r="J163" s="790">
        <f>I163*I260</f>
        <v>312832</v>
      </c>
      <c r="K163" s="797"/>
      <c r="L163" s="790"/>
      <c r="M163" s="790">
        <f>J163+K163+L163</f>
        <v>312832</v>
      </c>
      <c r="N163" s="790">
        <v>1</v>
      </c>
      <c r="O163" s="791">
        <v>0</v>
      </c>
      <c r="P163" s="795">
        <v>3.76</v>
      </c>
      <c r="Q163" s="790">
        <f t="shared" si="57"/>
        <v>312832</v>
      </c>
      <c r="R163" s="797"/>
      <c r="S163" s="790"/>
      <c r="T163" s="790">
        <f t="shared" si="58"/>
        <v>312832</v>
      </c>
      <c r="U163" s="718">
        <f t="shared" si="59"/>
        <v>0</v>
      </c>
      <c r="V163" s="719">
        <f t="shared" si="60"/>
        <v>0</v>
      </c>
      <c r="W163" s="718">
        <f t="shared" si="60"/>
        <v>0</v>
      </c>
      <c r="X163" s="719">
        <f t="shared" si="60"/>
        <v>0</v>
      </c>
      <c r="Y163" s="719">
        <f t="shared" si="60"/>
        <v>0</v>
      </c>
      <c r="Z163" s="790">
        <v>1</v>
      </c>
      <c r="AA163" s="791">
        <v>2</v>
      </c>
      <c r="AB163" s="795">
        <v>3.76</v>
      </c>
      <c r="AC163" s="790">
        <f>AB163*I260</f>
        <v>312832</v>
      </c>
      <c r="AD163" s="790"/>
      <c r="AE163" s="790"/>
      <c r="AF163" s="790">
        <f>+AC163+AD163</f>
        <v>312832</v>
      </c>
      <c r="AG163" s="790">
        <v>1</v>
      </c>
      <c r="AH163" s="791">
        <v>3</v>
      </c>
      <c r="AI163" s="795">
        <v>3.76</v>
      </c>
      <c r="AJ163" s="790">
        <f>AI163*I260</f>
        <v>312832</v>
      </c>
      <c r="AK163" s="797"/>
      <c r="AL163" s="797"/>
      <c r="AM163" s="790">
        <f>AJ163+AK163</f>
        <v>312832</v>
      </c>
    </row>
    <row r="164" spans="1:39" s="740" customFormat="1" ht="18" customHeight="1">
      <c r="A164" s="826">
        <v>106</v>
      </c>
      <c r="B164" s="717"/>
      <c r="C164" s="792"/>
      <c r="D164" s="814"/>
      <c r="E164" s="718" t="s">
        <v>1366</v>
      </c>
      <c r="F164" s="827" t="s">
        <v>1367</v>
      </c>
      <c r="G164" s="719">
        <v>1</v>
      </c>
      <c r="H164" s="791">
        <v>1</v>
      </c>
      <c r="I164" s="795">
        <v>3.11</v>
      </c>
      <c r="J164" s="790">
        <f>I164*I260</f>
        <v>258752</v>
      </c>
      <c r="K164" s="797"/>
      <c r="L164" s="790"/>
      <c r="M164" s="790">
        <f>J164+K164+L164</f>
        <v>258752</v>
      </c>
      <c r="N164" s="790">
        <v>1</v>
      </c>
      <c r="O164" s="791">
        <v>0</v>
      </c>
      <c r="P164" s="795">
        <v>3.11</v>
      </c>
      <c r="Q164" s="790">
        <f t="shared" si="57"/>
        <v>258752</v>
      </c>
      <c r="R164" s="797"/>
      <c r="S164" s="790"/>
      <c r="T164" s="790">
        <f t="shared" si="58"/>
        <v>258752</v>
      </c>
      <c r="U164" s="718">
        <f t="shared" si="59"/>
        <v>0</v>
      </c>
      <c r="V164" s="719">
        <f t="shared" si="60"/>
        <v>0</v>
      </c>
      <c r="W164" s="718">
        <f t="shared" si="60"/>
        <v>0</v>
      </c>
      <c r="X164" s="719">
        <f t="shared" si="60"/>
        <v>0</v>
      </c>
      <c r="Y164" s="719">
        <f t="shared" si="60"/>
        <v>0</v>
      </c>
      <c r="Z164" s="790">
        <v>1</v>
      </c>
      <c r="AA164" s="791">
        <v>2</v>
      </c>
      <c r="AB164" s="795">
        <v>3.11</v>
      </c>
      <c r="AC164" s="790">
        <f>AB164*I260</f>
        <v>258752</v>
      </c>
      <c r="AD164" s="790"/>
      <c r="AE164" s="790"/>
      <c r="AF164" s="790">
        <f>+AC164+AD164</f>
        <v>258752</v>
      </c>
      <c r="AG164" s="790">
        <v>1</v>
      </c>
      <c r="AH164" s="791">
        <v>3</v>
      </c>
      <c r="AI164" s="795">
        <v>3.11</v>
      </c>
      <c r="AJ164" s="790">
        <f>AI164*I260</f>
        <v>258752</v>
      </c>
      <c r="AK164" s="797"/>
      <c r="AL164" s="797"/>
      <c r="AM164" s="790">
        <f>AJ164+AK164</f>
        <v>258752</v>
      </c>
    </row>
    <row r="165" spans="1:39" ht="18" customHeight="1">
      <c r="A165" s="826">
        <v>107</v>
      </c>
      <c r="B165" s="720"/>
      <c r="C165" s="790"/>
      <c r="D165" s="719"/>
      <c r="E165" s="718" t="s">
        <v>1368</v>
      </c>
      <c r="F165" s="827" t="s">
        <v>1369</v>
      </c>
      <c r="G165" s="719">
        <v>1</v>
      </c>
      <c r="H165" s="791">
        <v>1</v>
      </c>
      <c r="I165" s="795">
        <v>1.96</v>
      </c>
      <c r="J165" s="790">
        <f>I165*I260</f>
        <v>163072</v>
      </c>
      <c r="K165" s="797"/>
      <c r="L165" s="790"/>
      <c r="M165" s="790">
        <f>J165+K165+L165</f>
        <v>163072</v>
      </c>
      <c r="N165" s="790">
        <v>1</v>
      </c>
      <c r="O165" s="791">
        <v>0</v>
      </c>
      <c r="P165" s="795">
        <v>1.96</v>
      </c>
      <c r="Q165" s="790">
        <f t="shared" si="57"/>
        <v>163072</v>
      </c>
      <c r="R165" s="797"/>
      <c r="S165" s="790"/>
      <c r="T165" s="790">
        <f t="shared" si="58"/>
        <v>163072</v>
      </c>
      <c r="U165" s="718">
        <f t="shared" si="59"/>
        <v>0</v>
      </c>
      <c r="V165" s="719">
        <f t="shared" si="60"/>
        <v>0</v>
      </c>
      <c r="W165" s="718">
        <f t="shared" si="60"/>
        <v>0</v>
      </c>
      <c r="X165" s="719">
        <f t="shared" si="60"/>
        <v>0</v>
      </c>
      <c r="Y165" s="719">
        <f t="shared" si="60"/>
        <v>0</v>
      </c>
      <c r="Z165" s="790">
        <v>1</v>
      </c>
      <c r="AA165" s="816">
        <v>2</v>
      </c>
      <c r="AB165" s="795">
        <v>1.96</v>
      </c>
      <c r="AC165" s="790">
        <f>AB165*I260</f>
        <v>163072</v>
      </c>
      <c r="AD165" s="790"/>
      <c r="AE165" s="790"/>
      <c r="AF165" s="790">
        <f>+AC165+AD165</f>
        <v>163072</v>
      </c>
      <c r="AG165" s="790">
        <v>1</v>
      </c>
      <c r="AH165" s="816">
        <v>3</v>
      </c>
      <c r="AI165" s="795">
        <v>1.96</v>
      </c>
      <c r="AJ165" s="790">
        <f>AI165*I260</f>
        <v>163072</v>
      </c>
      <c r="AK165" s="797"/>
      <c r="AL165" s="797"/>
      <c r="AM165" s="790">
        <f>AJ165+AK165</f>
        <v>163072</v>
      </c>
    </row>
    <row r="166" spans="1:39" s="837" customFormat="1" ht="18" customHeight="1">
      <c r="A166" s="826">
        <v>108</v>
      </c>
      <c r="B166" s="828"/>
      <c r="C166" s="829"/>
      <c r="D166" s="830"/>
      <c r="E166" s="567" t="s">
        <v>790</v>
      </c>
      <c r="F166" s="827" t="s">
        <v>1370</v>
      </c>
      <c r="G166" s="838">
        <v>1</v>
      </c>
      <c r="H166" s="832">
        <v>1</v>
      </c>
      <c r="I166" s="563">
        <v>3.76</v>
      </c>
      <c r="J166" s="561">
        <f>I166*I260</f>
        <v>312832</v>
      </c>
      <c r="K166" s="602"/>
      <c r="L166" s="561"/>
      <c r="M166" s="561">
        <f>SUM(J166:L166)</f>
        <v>312832</v>
      </c>
      <c r="N166" s="561">
        <v>1</v>
      </c>
      <c r="O166" s="832">
        <v>0</v>
      </c>
      <c r="P166" s="563">
        <v>3.76</v>
      </c>
      <c r="Q166" s="561">
        <f t="shared" si="57"/>
        <v>312832</v>
      </c>
      <c r="R166" s="602"/>
      <c r="S166" s="561"/>
      <c r="T166" s="561">
        <f>Q166+R166+S166</f>
        <v>312832</v>
      </c>
      <c r="U166" s="567">
        <f>+G166-N166</f>
        <v>0</v>
      </c>
      <c r="V166" s="833">
        <f>J166-Q166</f>
        <v>0</v>
      </c>
      <c r="W166" s="567">
        <f>K166-R166</f>
        <v>0</v>
      </c>
      <c r="X166" s="833">
        <f>L166-S166</f>
        <v>0</v>
      </c>
      <c r="Y166" s="833">
        <f>M166-T166</f>
        <v>0</v>
      </c>
      <c r="Z166" s="561">
        <v>1</v>
      </c>
      <c r="AA166" s="832">
        <v>2</v>
      </c>
      <c r="AB166" s="563">
        <v>3.76</v>
      </c>
      <c r="AC166" s="561">
        <f>AB166*I260</f>
        <v>312832</v>
      </c>
      <c r="AD166" s="561"/>
      <c r="AE166" s="561"/>
      <c r="AF166" s="561">
        <f>SUM(AC166:AE166)</f>
        <v>312832</v>
      </c>
      <c r="AG166" s="561">
        <v>1</v>
      </c>
      <c r="AH166" s="832">
        <v>3</v>
      </c>
      <c r="AI166" s="563">
        <v>3.76</v>
      </c>
      <c r="AJ166" s="561">
        <f>AI166*I260</f>
        <v>312832</v>
      </c>
      <c r="AK166" s="602"/>
      <c r="AL166" s="561"/>
      <c r="AM166" s="561">
        <f>SUM(AJ166:AL166)</f>
        <v>312832</v>
      </c>
    </row>
    <row r="167" spans="1:39" s="837" customFormat="1" ht="18" customHeight="1">
      <c r="A167" s="826">
        <v>109</v>
      </c>
      <c r="B167" s="828"/>
      <c r="C167" s="829"/>
      <c r="D167" s="830"/>
      <c r="E167" s="567" t="s">
        <v>790</v>
      </c>
      <c r="F167" s="827" t="s">
        <v>1371</v>
      </c>
      <c r="G167" s="838">
        <v>1</v>
      </c>
      <c r="H167" s="832">
        <v>1</v>
      </c>
      <c r="I167" s="563">
        <v>3.76</v>
      </c>
      <c r="J167" s="561">
        <f>I167*I260</f>
        <v>312832</v>
      </c>
      <c r="K167" s="602"/>
      <c r="L167" s="561"/>
      <c r="M167" s="561">
        <f>SUM(J167:L167)</f>
        <v>312832</v>
      </c>
      <c r="N167" s="561">
        <v>1</v>
      </c>
      <c r="O167" s="832">
        <v>0</v>
      </c>
      <c r="P167" s="563">
        <v>3.76</v>
      </c>
      <c r="Q167" s="561">
        <f t="shared" si="57"/>
        <v>312832</v>
      </c>
      <c r="R167" s="602"/>
      <c r="S167" s="561"/>
      <c r="T167" s="561">
        <f t="shared" si="58"/>
        <v>312832</v>
      </c>
      <c r="U167" s="567">
        <f t="shared" si="59"/>
        <v>0</v>
      </c>
      <c r="V167" s="833">
        <f t="shared" si="60"/>
        <v>0</v>
      </c>
      <c r="W167" s="567">
        <f t="shared" si="60"/>
        <v>0</v>
      </c>
      <c r="X167" s="833">
        <f t="shared" si="60"/>
        <v>0</v>
      </c>
      <c r="Y167" s="833">
        <f t="shared" si="60"/>
        <v>0</v>
      </c>
      <c r="Z167" s="561">
        <v>1</v>
      </c>
      <c r="AA167" s="832">
        <v>2</v>
      </c>
      <c r="AB167" s="563">
        <v>3.76</v>
      </c>
      <c r="AC167" s="561">
        <f>AB167*I260</f>
        <v>312832</v>
      </c>
      <c r="AD167" s="561"/>
      <c r="AE167" s="561"/>
      <c r="AF167" s="561">
        <f>SUM(AC167:AE167)</f>
        <v>312832</v>
      </c>
      <c r="AG167" s="561">
        <v>1</v>
      </c>
      <c r="AH167" s="832">
        <v>3</v>
      </c>
      <c r="AI167" s="563">
        <v>3.76</v>
      </c>
      <c r="AJ167" s="561">
        <f>AI167*I260</f>
        <v>312832</v>
      </c>
      <c r="AK167" s="602"/>
      <c r="AL167" s="561"/>
      <c r="AM167" s="561">
        <f>SUM(AJ167:AL167)</f>
        <v>312832</v>
      </c>
    </row>
    <row r="168" spans="1:39" s="837" customFormat="1" ht="18" customHeight="1">
      <c r="A168" s="826">
        <v>110</v>
      </c>
      <c r="B168" s="828"/>
      <c r="C168" s="829"/>
      <c r="D168" s="830"/>
      <c r="E168" s="567" t="s">
        <v>790</v>
      </c>
      <c r="F168" s="827" t="s">
        <v>1372</v>
      </c>
      <c r="G168" s="838">
        <v>1</v>
      </c>
      <c r="H168" s="832">
        <v>1</v>
      </c>
      <c r="I168" s="563">
        <v>3.76</v>
      </c>
      <c r="J168" s="561">
        <f>I168*I260</f>
        <v>312832</v>
      </c>
      <c r="K168" s="602"/>
      <c r="L168" s="561"/>
      <c r="M168" s="561">
        <f>SUM(J168:L168)</f>
        <v>312832</v>
      </c>
      <c r="N168" s="561">
        <v>1</v>
      </c>
      <c r="O168" s="832">
        <v>0</v>
      </c>
      <c r="P168" s="563">
        <v>3.76</v>
      </c>
      <c r="Q168" s="561">
        <f t="shared" si="57"/>
        <v>312832</v>
      </c>
      <c r="R168" s="602"/>
      <c r="S168" s="561"/>
      <c r="T168" s="561">
        <f t="shared" si="58"/>
        <v>312832</v>
      </c>
      <c r="U168" s="567">
        <f t="shared" si="59"/>
        <v>0</v>
      </c>
      <c r="V168" s="833">
        <f t="shared" si="60"/>
        <v>0</v>
      </c>
      <c r="W168" s="567">
        <f t="shared" si="60"/>
        <v>0</v>
      </c>
      <c r="X168" s="833">
        <f t="shared" si="60"/>
        <v>0</v>
      </c>
      <c r="Y168" s="833">
        <f t="shared" si="60"/>
        <v>0</v>
      </c>
      <c r="Z168" s="561">
        <v>1</v>
      </c>
      <c r="AA168" s="832">
        <v>2</v>
      </c>
      <c r="AB168" s="563">
        <v>3.76</v>
      </c>
      <c r="AC168" s="561">
        <f>AB168*I260</f>
        <v>312832</v>
      </c>
      <c r="AD168" s="561"/>
      <c r="AE168" s="561"/>
      <c r="AF168" s="561">
        <f>SUM(AC168:AE168)</f>
        <v>312832</v>
      </c>
      <c r="AG168" s="561">
        <v>1</v>
      </c>
      <c r="AH168" s="832">
        <v>3</v>
      </c>
      <c r="AI168" s="563">
        <v>3.76</v>
      </c>
      <c r="AJ168" s="561">
        <f>AI168*I260</f>
        <v>312832</v>
      </c>
      <c r="AK168" s="602"/>
      <c r="AL168" s="561"/>
      <c r="AM168" s="561">
        <f>SUM(AJ168:AL168)</f>
        <v>312832</v>
      </c>
    </row>
    <row r="169" spans="1:39" s="837" customFormat="1" ht="18" customHeight="1">
      <c r="A169" s="826">
        <v>111</v>
      </c>
      <c r="B169" s="828"/>
      <c r="C169" s="829"/>
      <c r="D169" s="830"/>
      <c r="E169" s="567" t="s">
        <v>790</v>
      </c>
      <c r="F169" s="827" t="s">
        <v>1373</v>
      </c>
      <c r="G169" s="838">
        <v>1</v>
      </c>
      <c r="H169" s="832">
        <v>1</v>
      </c>
      <c r="I169" s="563">
        <v>3.76</v>
      </c>
      <c r="J169" s="561">
        <f>I169*I260</f>
        <v>312832</v>
      </c>
      <c r="K169" s="602"/>
      <c r="L169" s="561"/>
      <c r="M169" s="561">
        <f>SUM(J169:L169)</f>
        <v>312832</v>
      </c>
      <c r="N169" s="561">
        <v>1</v>
      </c>
      <c r="O169" s="832">
        <v>0</v>
      </c>
      <c r="P169" s="563">
        <v>3.76</v>
      </c>
      <c r="Q169" s="561">
        <f t="shared" si="57"/>
        <v>312832</v>
      </c>
      <c r="R169" s="602"/>
      <c r="S169" s="561"/>
      <c r="T169" s="561">
        <f t="shared" si="58"/>
        <v>312832</v>
      </c>
      <c r="U169" s="567">
        <f t="shared" si="59"/>
        <v>0</v>
      </c>
      <c r="V169" s="833">
        <f t="shared" si="60"/>
        <v>0</v>
      </c>
      <c r="W169" s="567">
        <f t="shared" si="60"/>
        <v>0</v>
      </c>
      <c r="X169" s="833">
        <f t="shared" si="60"/>
        <v>0</v>
      </c>
      <c r="Y169" s="833">
        <f t="shared" si="60"/>
        <v>0</v>
      </c>
      <c r="Z169" s="561">
        <v>1</v>
      </c>
      <c r="AA169" s="832">
        <v>2</v>
      </c>
      <c r="AB169" s="563">
        <v>3.76</v>
      </c>
      <c r="AC169" s="561">
        <f>AB169*I260</f>
        <v>312832</v>
      </c>
      <c r="AD169" s="561"/>
      <c r="AE169" s="561"/>
      <c r="AF169" s="561">
        <f>SUM(AC169:AE169)</f>
        <v>312832</v>
      </c>
      <c r="AG169" s="561">
        <v>1</v>
      </c>
      <c r="AH169" s="832">
        <v>3</v>
      </c>
      <c r="AI169" s="563">
        <v>3.76</v>
      </c>
      <c r="AJ169" s="561">
        <f>AI169*I260</f>
        <v>312832</v>
      </c>
      <c r="AK169" s="602"/>
      <c r="AL169" s="561"/>
      <c r="AM169" s="561">
        <f>SUM(AJ169:AL169)</f>
        <v>312832</v>
      </c>
    </row>
    <row r="170" spans="1:39" ht="18" customHeight="1">
      <c r="A170" s="826"/>
      <c r="B170" s="720"/>
      <c r="C170" s="790"/>
      <c r="D170" s="719"/>
      <c r="E170" s="718"/>
      <c r="F170" s="718"/>
      <c r="G170" s="719"/>
      <c r="H170" s="791"/>
      <c r="I170" s="795"/>
      <c r="J170" s="790"/>
      <c r="K170" s="797"/>
      <c r="L170" s="790"/>
      <c r="M170" s="719"/>
      <c r="N170" s="790"/>
      <c r="O170" s="791"/>
      <c r="P170" s="795"/>
      <c r="Q170" s="790"/>
      <c r="R170" s="797"/>
      <c r="S170" s="790"/>
      <c r="T170" s="790"/>
      <c r="U170" s="718"/>
      <c r="V170" s="719"/>
      <c r="W170" s="718"/>
      <c r="X170" s="719"/>
      <c r="Y170" s="719"/>
      <c r="Z170" s="790"/>
      <c r="AA170" s="791"/>
      <c r="AB170" s="718"/>
      <c r="AC170" s="790"/>
      <c r="AD170" s="790"/>
      <c r="AE170" s="790"/>
      <c r="AF170" s="790"/>
      <c r="AG170" s="790"/>
      <c r="AH170" s="791"/>
      <c r="AI170" s="718"/>
      <c r="AJ170" s="797"/>
      <c r="AK170" s="797"/>
      <c r="AL170" s="797"/>
      <c r="AM170" s="790"/>
    </row>
    <row r="171" spans="1:39" s="740" customFormat="1" ht="18" customHeight="1">
      <c r="A171" s="818"/>
      <c r="B171" s="811" t="s">
        <v>132</v>
      </c>
      <c r="C171" s="792"/>
      <c r="D171" s="814"/>
      <c r="E171" s="815"/>
      <c r="F171" s="815"/>
      <c r="G171" s="814">
        <f>SUM(G159:G170)</f>
        <v>11</v>
      </c>
      <c r="H171" s="816" t="s">
        <v>1</v>
      </c>
      <c r="I171" s="814" t="s">
        <v>1</v>
      </c>
      <c r="J171" s="814">
        <f>SUM(J159:J170)</f>
        <v>3394560</v>
      </c>
      <c r="K171" s="814">
        <f>SUM(K159:K170)</f>
        <v>0</v>
      </c>
      <c r="L171" s="814">
        <f>SUM(L159:L170)</f>
        <v>0</v>
      </c>
      <c r="M171" s="814">
        <f>SUM(M159:M170)</f>
        <v>3394560</v>
      </c>
      <c r="N171" s="792">
        <f>SUM(N159:N170)</f>
        <v>11</v>
      </c>
      <c r="O171" s="816" t="s">
        <v>1</v>
      </c>
      <c r="P171" s="792" t="s">
        <v>1</v>
      </c>
      <c r="Q171" s="792">
        <f>SUM(Q159:Q170)</f>
        <v>3381248</v>
      </c>
      <c r="R171" s="792">
        <f>SUM(R159:R170)</f>
        <v>0</v>
      </c>
      <c r="S171" s="814">
        <f>SUM(S159:S170)</f>
        <v>0</v>
      </c>
      <c r="T171" s="814">
        <f>SUM(T159:T170)</f>
        <v>3381248</v>
      </c>
      <c r="U171" s="815">
        <f>+G171-N171</f>
        <v>0</v>
      </c>
      <c r="V171" s="814">
        <f>J171-Q171</f>
        <v>13312</v>
      </c>
      <c r="W171" s="815">
        <f>K171-R171</f>
        <v>0</v>
      </c>
      <c r="X171" s="814">
        <f>L171-S171</f>
        <v>0</v>
      </c>
      <c r="Y171" s="814">
        <f>M171-T171</f>
        <v>13312</v>
      </c>
      <c r="Z171" s="792">
        <f>SUM(Z159:Z170)</f>
        <v>11</v>
      </c>
      <c r="AA171" s="816" t="s">
        <v>1</v>
      </c>
      <c r="AB171" s="792" t="s">
        <v>1</v>
      </c>
      <c r="AC171" s="792">
        <f>SUM(AC159:AC170)</f>
        <v>3407040</v>
      </c>
      <c r="AD171" s="792">
        <f>SUM(AD159:AD170)</f>
        <v>0</v>
      </c>
      <c r="AE171" s="792">
        <f>SUM(AE159:AE170)</f>
        <v>0</v>
      </c>
      <c r="AF171" s="814">
        <f>SUM(AF159:AF170)</f>
        <v>3407040</v>
      </c>
      <c r="AG171" s="792">
        <f>SUM(AG159:AG170)</f>
        <v>11</v>
      </c>
      <c r="AH171" s="816" t="s">
        <v>1</v>
      </c>
      <c r="AI171" s="792" t="s">
        <v>1</v>
      </c>
      <c r="AJ171" s="792">
        <f>SUM(AJ159:AJ170)</f>
        <v>3421184</v>
      </c>
      <c r="AK171" s="792">
        <f>SUM(AK159:AK170)</f>
        <v>0</v>
      </c>
      <c r="AL171" s="792">
        <f>SUM(AL159:AL170)</f>
        <v>0</v>
      </c>
      <c r="AM171" s="814">
        <f>SUM(AM159:AM170)</f>
        <v>3421184</v>
      </c>
    </row>
    <row r="172" spans="1:39" s="740" customFormat="1" ht="18" customHeight="1">
      <c r="A172" s="818"/>
      <c r="B172" s="811"/>
      <c r="C172" s="792"/>
      <c r="D172" s="814"/>
      <c r="E172" s="815"/>
      <c r="F172" s="815"/>
      <c r="G172" s="814"/>
      <c r="H172" s="839"/>
      <c r="I172" s="776"/>
      <c r="J172" s="776"/>
      <c r="K172" s="776"/>
      <c r="L172" s="776"/>
      <c r="M172" s="776"/>
      <c r="N172" s="780"/>
      <c r="O172" s="816"/>
      <c r="P172" s="792"/>
      <c r="Q172" s="792"/>
      <c r="R172" s="792"/>
      <c r="S172" s="814"/>
      <c r="T172" s="814"/>
      <c r="U172" s="815"/>
      <c r="V172" s="814"/>
      <c r="W172" s="815"/>
      <c r="X172" s="814"/>
      <c r="Y172" s="814"/>
      <c r="Z172" s="792"/>
      <c r="AA172" s="816"/>
      <c r="AB172" s="792"/>
      <c r="AC172" s="792"/>
      <c r="AD172" s="792"/>
      <c r="AE172" s="792"/>
      <c r="AF172" s="814"/>
      <c r="AG172" s="792"/>
      <c r="AH172" s="816"/>
      <c r="AI172" s="792"/>
      <c r="AJ172" s="792"/>
      <c r="AK172" s="792"/>
      <c r="AL172" s="130"/>
      <c r="AM172" s="840"/>
    </row>
    <row r="173" spans="1:37" s="825" customFormat="1" ht="18" customHeight="1">
      <c r="A173" s="818"/>
      <c r="B173" s="717" t="s">
        <v>131</v>
      </c>
      <c r="C173" s="792"/>
      <c r="D173" s="819"/>
      <c r="E173" s="717"/>
      <c r="F173" s="820"/>
      <c r="G173" s="1135" t="s">
        <v>755</v>
      </c>
      <c r="H173" s="1136"/>
      <c r="I173" s="1136"/>
      <c r="J173" s="1136"/>
      <c r="K173" s="1136"/>
      <c r="L173" s="1136"/>
      <c r="M173" s="1136"/>
      <c r="N173" s="1136"/>
      <c r="O173" s="1136"/>
      <c r="P173" s="1137"/>
      <c r="Q173" s="818"/>
      <c r="R173" s="717"/>
      <c r="S173" s="818"/>
      <c r="T173" s="818"/>
      <c r="U173" s="717"/>
      <c r="V173" s="823"/>
      <c r="W173" s="823"/>
      <c r="X173" s="823"/>
      <c r="Y173" s="819"/>
      <c r="Z173" s="820"/>
      <c r="AA173" s="821"/>
      <c r="AB173" s="818"/>
      <c r="AC173" s="818"/>
      <c r="AD173" s="818"/>
      <c r="AE173" s="818"/>
      <c r="AF173" s="820"/>
      <c r="AG173" s="820"/>
      <c r="AH173" s="824"/>
      <c r="AI173" s="717"/>
      <c r="AJ173" s="717"/>
      <c r="AK173" s="717"/>
    </row>
    <row r="174" spans="1:39" ht="18" customHeight="1">
      <c r="A174" s="826"/>
      <c r="B174" s="720"/>
      <c r="C174" s="790"/>
      <c r="D174" s="719"/>
      <c r="E174" s="718"/>
      <c r="F174" s="718"/>
      <c r="G174" s="719"/>
      <c r="H174" s="791"/>
      <c r="I174" s="795"/>
      <c r="J174" s="790"/>
      <c r="K174" s="797"/>
      <c r="L174" s="790"/>
      <c r="M174" s="790"/>
      <c r="N174" s="790"/>
      <c r="O174" s="791"/>
      <c r="P174" s="795"/>
      <c r="Q174" s="790"/>
      <c r="R174" s="797"/>
      <c r="S174" s="790"/>
      <c r="T174" s="790"/>
      <c r="U174" s="790"/>
      <c r="V174" s="798"/>
      <c r="W174" s="797"/>
      <c r="X174" s="798"/>
      <c r="Y174" s="798"/>
      <c r="Z174" s="790"/>
      <c r="AA174" s="791"/>
      <c r="AB174" s="718"/>
      <c r="AC174" s="790"/>
      <c r="AD174" s="790"/>
      <c r="AE174" s="790"/>
      <c r="AF174" s="790"/>
      <c r="AG174" s="790"/>
      <c r="AH174" s="791"/>
      <c r="AI174" s="718"/>
      <c r="AJ174" s="797"/>
      <c r="AK174" s="797"/>
      <c r="AL174" s="797"/>
      <c r="AM174" s="797"/>
    </row>
    <row r="175" spans="1:39" ht="18" customHeight="1">
      <c r="A175" s="826">
        <v>112</v>
      </c>
      <c r="B175" s="720" t="s">
        <v>756</v>
      </c>
      <c r="C175" s="790" t="s">
        <v>697</v>
      </c>
      <c r="D175" s="719">
        <v>1986</v>
      </c>
      <c r="E175" s="799" t="s">
        <v>789</v>
      </c>
      <c r="F175" s="827" t="s">
        <v>1374</v>
      </c>
      <c r="G175" s="719">
        <v>1</v>
      </c>
      <c r="H175" s="791" t="s">
        <v>1187</v>
      </c>
      <c r="I175" s="795">
        <v>5.35</v>
      </c>
      <c r="J175" s="790">
        <f>I175*I260</f>
        <v>445119.99999999994</v>
      </c>
      <c r="K175" s="797"/>
      <c r="L175" s="790"/>
      <c r="M175" s="790">
        <f aca="true" t="shared" si="61" ref="M175:M184">SUM(J175:L175)</f>
        <v>445119.99999999994</v>
      </c>
      <c r="N175" s="790">
        <v>1</v>
      </c>
      <c r="O175" s="791" t="s">
        <v>1185</v>
      </c>
      <c r="P175" s="795">
        <v>5.35</v>
      </c>
      <c r="Q175" s="790">
        <f>P175*83200</f>
        <v>445119.99999999994</v>
      </c>
      <c r="R175" s="797"/>
      <c r="S175" s="790"/>
      <c r="T175" s="790">
        <f>Q175+R175+S175</f>
        <v>445119.99999999994</v>
      </c>
      <c r="U175" s="718">
        <f aca="true" t="shared" si="62" ref="U175:U184">+G175-N175</f>
        <v>0</v>
      </c>
      <c r="V175" s="719">
        <f aca="true" t="shared" si="63" ref="V175:Y184">J175-Q175</f>
        <v>0</v>
      </c>
      <c r="W175" s="718">
        <f t="shared" si="63"/>
        <v>0</v>
      </c>
      <c r="X175" s="719">
        <f t="shared" si="63"/>
        <v>0</v>
      </c>
      <c r="Y175" s="719">
        <f t="shared" si="63"/>
        <v>0</v>
      </c>
      <c r="Z175" s="790">
        <v>1</v>
      </c>
      <c r="AA175" s="791" t="s">
        <v>1188</v>
      </c>
      <c r="AB175" s="795">
        <v>5.52</v>
      </c>
      <c r="AC175" s="790">
        <f>AB175*I260</f>
        <v>459263.99999999994</v>
      </c>
      <c r="AD175" s="797"/>
      <c r="AE175" s="790"/>
      <c r="AF175" s="790">
        <f>AC175+AD175+AE175</f>
        <v>459263.99999999994</v>
      </c>
      <c r="AG175" s="790">
        <v>1</v>
      </c>
      <c r="AH175" s="791" t="s">
        <v>1311</v>
      </c>
      <c r="AI175" s="795">
        <v>5.52</v>
      </c>
      <c r="AJ175" s="790">
        <f>AI175*I260</f>
        <v>459263.99999999994</v>
      </c>
      <c r="AK175" s="797"/>
      <c r="AL175" s="790"/>
      <c r="AM175" s="790">
        <f>AJ175+AK175+AL175</f>
        <v>459263.99999999994</v>
      </c>
    </row>
    <row r="176" spans="1:39" ht="18" customHeight="1">
      <c r="A176" s="826">
        <v>113</v>
      </c>
      <c r="B176" s="720"/>
      <c r="C176" s="790"/>
      <c r="D176" s="719"/>
      <c r="E176" s="799" t="s">
        <v>788</v>
      </c>
      <c r="F176" s="827" t="s">
        <v>1375</v>
      </c>
      <c r="G176" s="719">
        <v>1</v>
      </c>
      <c r="H176" s="791">
        <v>1</v>
      </c>
      <c r="I176" s="795">
        <v>4.55</v>
      </c>
      <c r="J176" s="790">
        <f>I176*I260</f>
        <v>378560</v>
      </c>
      <c r="K176" s="797"/>
      <c r="L176" s="790"/>
      <c r="M176" s="790">
        <f t="shared" si="61"/>
        <v>378560</v>
      </c>
      <c r="N176" s="790">
        <v>1</v>
      </c>
      <c r="O176" s="791">
        <v>0</v>
      </c>
      <c r="P176" s="795">
        <v>4.55</v>
      </c>
      <c r="Q176" s="790">
        <f>P176*83200</f>
        <v>378560</v>
      </c>
      <c r="R176" s="797"/>
      <c r="S176" s="790"/>
      <c r="T176" s="790">
        <f aca="true" t="shared" si="64" ref="T176:T184">Q176+R176+S176</f>
        <v>378560</v>
      </c>
      <c r="U176" s="718">
        <f t="shared" si="62"/>
        <v>0</v>
      </c>
      <c r="V176" s="719">
        <f t="shared" si="63"/>
        <v>0</v>
      </c>
      <c r="W176" s="718">
        <f t="shared" si="63"/>
        <v>0</v>
      </c>
      <c r="X176" s="719">
        <f t="shared" si="63"/>
        <v>0</v>
      </c>
      <c r="Y176" s="719">
        <f t="shared" si="63"/>
        <v>0</v>
      </c>
      <c r="Z176" s="790">
        <v>1</v>
      </c>
      <c r="AA176" s="791">
        <v>2</v>
      </c>
      <c r="AB176" s="795">
        <v>4.55</v>
      </c>
      <c r="AC176" s="790">
        <f>AB176*I260</f>
        <v>378560</v>
      </c>
      <c r="AD176" s="797"/>
      <c r="AE176" s="790"/>
      <c r="AF176" s="790">
        <f aca="true" t="shared" si="65" ref="AF176:AF184">AC176+AD176+AE176</f>
        <v>378560</v>
      </c>
      <c r="AG176" s="790">
        <v>1</v>
      </c>
      <c r="AH176" s="791">
        <v>3</v>
      </c>
      <c r="AI176" s="795">
        <v>4.55</v>
      </c>
      <c r="AJ176" s="790">
        <f>AI176*I260</f>
        <v>378560</v>
      </c>
      <c r="AK176" s="797"/>
      <c r="AL176" s="790"/>
      <c r="AM176" s="790">
        <f aca="true" t="shared" si="66" ref="AM176:AM184">AJ176+AK176+AL176</f>
        <v>378560</v>
      </c>
    </row>
    <row r="177" spans="1:39" s="837" customFormat="1" ht="18" customHeight="1">
      <c r="A177" s="826">
        <v>114</v>
      </c>
      <c r="B177" s="828" t="s">
        <v>758</v>
      </c>
      <c r="C177" s="561" t="s">
        <v>703</v>
      </c>
      <c r="D177" s="833">
        <v>1980</v>
      </c>
      <c r="E177" s="567" t="s">
        <v>790</v>
      </c>
      <c r="F177" s="827" t="s">
        <v>1376</v>
      </c>
      <c r="G177" s="830">
        <v>1</v>
      </c>
      <c r="H177" s="834" t="s">
        <v>1228</v>
      </c>
      <c r="I177" s="835">
        <v>4.4</v>
      </c>
      <c r="J177" s="829">
        <f>IF((I177*I260)&lt;385170,385170,I177*I260)</f>
        <v>385170</v>
      </c>
      <c r="K177" s="836"/>
      <c r="L177" s="829">
        <f>J177*5/100</f>
        <v>19258.5</v>
      </c>
      <c r="M177" s="830">
        <f t="shared" si="61"/>
        <v>404428.5</v>
      </c>
      <c r="N177" s="829">
        <v>1</v>
      </c>
      <c r="O177" s="834" t="s">
        <v>1173</v>
      </c>
      <c r="P177" s="835">
        <v>4.27</v>
      </c>
      <c r="Q177" s="829">
        <f>IF((P177*83200)&lt;385170,385170,P177*83200)</f>
        <v>385170</v>
      </c>
      <c r="R177" s="836"/>
      <c r="S177" s="830">
        <f>Q177*5/100</f>
        <v>19258.5</v>
      </c>
      <c r="T177" s="830">
        <f t="shared" si="64"/>
        <v>404428.5</v>
      </c>
      <c r="U177" s="831">
        <f t="shared" si="62"/>
        <v>0</v>
      </c>
      <c r="V177" s="830">
        <f t="shared" si="63"/>
        <v>0</v>
      </c>
      <c r="W177" s="831">
        <f t="shared" si="63"/>
        <v>0</v>
      </c>
      <c r="X177" s="830">
        <f t="shared" si="63"/>
        <v>0</v>
      </c>
      <c r="Y177" s="830">
        <f t="shared" si="63"/>
        <v>0</v>
      </c>
      <c r="Z177" s="829">
        <v>1</v>
      </c>
      <c r="AA177" s="834" t="s">
        <v>1229</v>
      </c>
      <c r="AB177" s="835">
        <v>4.4</v>
      </c>
      <c r="AC177" s="829">
        <f>IF((AB177*I260)&lt;385170,385170,AB177*I260)</f>
        <v>385170</v>
      </c>
      <c r="AD177" s="836"/>
      <c r="AE177" s="830">
        <f>AC177*5/100</f>
        <v>19258.5</v>
      </c>
      <c r="AF177" s="829">
        <f t="shared" si="65"/>
        <v>404428.5</v>
      </c>
      <c r="AG177" s="829">
        <v>1</v>
      </c>
      <c r="AH177" s="834" t="s">
        <v>1230</v>
      </c>
      <c r="AI177" s="835">
        <v>4.4</v>
      </c>
      <c r="AJ177" s="829">
        <f>IF((AI177*I260)&lt;385170,385170,AI177*I260)</f>
        <v>385170</v>
      </c>
      <c r="AK177" s="836"/>
      <c r="AL177" s="830">
        <f>AJ177*5/100</f>
        <v>19258.5</v>
      </c>
      <c r="AM177" s="829">
        <f t="shared" si="66"/>
        <v>404428.5</v>
      </c>
    </row>
    <row r="178" spans="1:39" s="837" customFormat="1" ht="18" customHeight="1">
      <c r="A178" s="826">
        <v>115</v>
      </c>
      <c r="B178" s="828" t="s">
        <v>759</v>
      </c>
      <c r="C178" s="561" t="s">
        <v>703</v>
      </c>
      <c r="D178" s="833">
        <v>1972</v>
      </c>
      <c r="E178" s="567" t="s">
        <v>790</v>
      </c>
      <c r="F178" s="827" t="s">
        <v>1377</v>
      </c>
      <c r="G178" s="830">
        <v>1</v>
      </c>
      <c r="H178" s="834" t="s">
        <v>1378</v>
      </c>
      <c r="I178" s="835">
        <v>4.4</v>
      </c>
      <c r="J178" s="829">
        <f>IF((I178*I260)&lt;395160,395160,I178*I260)</f>
        <v>395160</v>
      </c>
      <c r="K178" s="836"/>
      <c r="L178" s="829">
        <f>J178*5/100</f>
        <v>19758</v>
      </c>
      <c r="M178" s="829">
        <f t="shared" si="61"/>
        <v>414918</v>
      </c>
      <c r="N178" s="829">
        <v>1</v>
      </c>
      <c r="O178" s="834" t="s">
        <v>1379</v>
      </c>
      <c r="P178" s="835">
        <v>4.4</v>
      </c>
      <c r="Q178" s="829">
        <f>IF((P178*83200)&lt;395160,395160,P178*83200)</f>
        <v>395160</v>
      </c>
      <c r="R178" s="836"/>
      <c r="S178" s="830">
        <f>Q178*5/100</f>
        <v>19758</v>
      </c>
      <c r="T178" s="829">
        <f t="shared" si="64"/>
        <v>414918</v>
      </c>
      <c r="U178" s="831">
        <f t="shared" si="62"/>
        <v>0</v>
      </c>
      <c r="V178" s="830">
        <f t="shared" si="63"/>
        <v>0</v>
      </c>
      <c r="W178" s="831">
        <f t="shared" si="63"/>
        <v>0</v>
      </c>
      <c r="X178" s="830">
        <f t="shared" si="63"/>
        <v>0</v>
      </c>
      <c r="Y178" s="830">
        <f t="shared" si="63"/>
        <v>0</v>
      </c>
      <c r="Z178" s="829">
        <v>1</v>
      </c>
      <c r="AA178" s="834" t="s">
        <v>1380</v>
      </c>
      <c r="AB178" s="835">
        <v>4.4</v>
      </c>
      <c r="AC178" s="829">
        <f>IF((AB178*I260)&lt;395160,395160,AB178*I260)</f>
        <v>395160</v>
      </c>
      <c r="AD178" s="836"/>
      <c r="AE178" s="830">
        <f>AC178*5/100</f>
        <v>19758</v>
      </c>
      <c r="AF178" s="829">
        <f t="shared" si="65"/>
        <v>414918</v>
      </c>
      <c r="AG178" s="829">
        <v>1</v>
      </c>
      <c r="AH178" s="834" t="s">
        <v>1381</v>
      </c>
      <c r="AI178" s="835">
        <v>4.4</v>
      </c>
      <c r="AJ178" s="829">
        <f>IF((AI178*I260)&lt;395160,395160,AI178*I260)</f>
        <v>395160</v>
      </c>
      <c r="AK178" s="836"/>
      <c r="AL178" s="830">
        <f>AJ178*5/100</f>
        <v>19758</v>
      </c>
      <c r="AM178" s="829">
        <f t="shared" si="66"/>
        <v>414918</v>
      </c>
    </row>
    <row r="179" spans="1:39" s="837" customFormat="1" ht="18" customHeight="1">
      <c r="A179" s="826">
        <v>116</v>
      </c>
      <c r="B179" s="828" t="s">
        <v>761</v>
      </c>
      <c r="C179" s="561" t="s">
        <v>697</v>
      </c>
      <c r="D179" s="833">
        <v>1960</v>
      </c>
      <c r="E179" s="567" t="s">
        <v>790</v>
      </c>
      <c r="F179" s="827" t="s">
        <v>1382</v>
      </c>
      <c r="G179" s="830">
        <v>1</v>
      </c>
      <c r="H179" s="834" t="s">
        <v>1383</v>
      </c>
      <c r="I179" s="835">
        <v>4.4</v>
      </c>
      <c r="J179" s="829">
        <f>IF((I179*I260)&lt;416250,416250,I179*I260)</f>
        <v>416250</v>
      </c>
      <c r="K179" s="836"/>
      <c r="L179" s="829">
        <f>J179*5/100</f>
        <v>20812.5</v>
      </c>
      <c r="M179" s="830">
        <f>SUM(J179:L179)</f>
        <v>437062.5</v>
      </c>
      <c r="N179" s="829">
        <v>1</v>
      </c>
      <c r="O179" s="834" t="s">
        <v>1384</v>
      </c>
      <c r="P179" s="835">
        <v>4.4</v>
      </c>
      <c r="Q179" s="829">
        <f>IF((P179*83200)&lt;416250,416250,P179*83200)</f>
        <v>416250</v>
      </c>
      <c r="R179" s="836"/>
      <c r="S179" s="830">
        <f>Q179*5/100</f>
        <v>20812.5</v>
      </c>
      <c r="T179" s="830">
        <f>Q179+R179+S179</f>
        <v>437062.5</v>
      </c>
      <c r="U179" s="831">
        <f>+G179-N179</f>
        <v>0</v>
      </c>
      <c r="V179" s="830">
        <f t="shared" si="63"/>
        <v>0</v>
      </c>
      <c r="W179" s="831">
        <f t="shared" si="63"/>
        <v>0</v>
      </c>
      <c r="X179" s="830">
        <f t="shared" si="63"/>
        <v>0</v>
      </c>
      <c r="Y179" s="830">
        <f t="shared" si="63"/>
        <v>0</v>
      </c>
      <c r="Z179" s="829">
        <v>1</v>
      </c>
      <c r="AA179" s="834" t="s">
        <v>1385</v>
      </c>
      <c r="AB179" s="835">
        <v>4.4</v>
      </c>
      <c r="AC179" s="829">
        <f>IF((AB179*I260)&lt;416250,416250,AB179*I260)</f>
        <v>416250</v>
      </c>
      <c r="AD179" s="836"/>
      <c r="AE179" s="830">
        <f>AC179*5/100</f>
        <v>20812.5</v>
      </c>
      <c r="AF179" s="829">
        <f>AC179+AD179+AE179</f>
        <v>437062.5</v>
      </c>
      <c r="AG179" s="829">
        <v>1</v>
      </c>
      <c r="AH179" s="834" t="s">
        <v>1386</v>
      </c>
      <c r="AI179" s="835">
        <v>4.4</v>
      </c>
      <c r="AJ179" s="829">
        <f>IF((AI179*I260)&lt;416250,416250,AI179*I260)</f>
        <v>416250</v>
      </c>
      <c r="AK179" s="836"/>
      <c r="AL179" s="830">
        <f>AJ179*5/100</f>
        <v>20812.5</v>
      </c>
      <c r="AM179" s="829">
        <f>AJ179+AK179+AL179</f>
        <v>437062.5</v>
      </c>
    </row>
    <row r="180" spans="1:39" ht="18" customHeight="1">
      <c r="A180" s="826">
        <v>117</v>
      </c>
      <c r="B180" s="863" t="s">
        <v>760</v>
      </c>
      <c r="C180" s="790" t="s">
        <v>697</v>
      </c>
      <c r="D180" s="719">
        <v>1986</v>
      </c>
      <c r="E180" s="718" t="s">
        <v>790</v>
      </c>
      <c r="F180" s="827" t="s">
        <v>1387</v>
      </c>
      <c r="G180" s="719">
        <v>1</v>
      </c>
      <c r="H180" s="791" t="s">
        <v>1187</v>
      </c>
      <c r="I180" s="795">
        <v>3.64</v>
      </c>
      <c r="J180" s="790">
        <f>I180*I260</f>
        <v>302848</v>
      </c>
      <c r="K180" s="797"/>
      <c r="L180" s="790"/>
      <c r="M180" s="790">
        <f>SUM(J180:L180)</f>
        <v>302848</v>
      </c>
      <c r="N180" s="790">
        <v>1</v>
      </c>
      <c r="O180" s="791" t="s">
        <v>1185</v>
      </c>
      <c r="P180" s="795">
        <v>3.64</v>
      </c>
      <c r="Q180" s="790">
        <f>P180*83200</f>
        <v>302848</v>
      </c>
      <c r="R180" s="797"/>
      <c r="S180" s="790"/>
      <c r="T180" s="790">
        <f>Q180+R180+S180</f>
        <v>302848</v>
      </c>
      <c r="U180" s="718">
        <f>+G180-N180</f>
        <v>0</v>
      </c>
      <c r="V180" s="719">
        <f t="shared" si="63"/>
        <v>0</v>
      </c>
      <c r="W180" s="718">
        <f t="shared" si="63"/>
        <v>0</v>
      </c>
      <c r="X180" s="719">
        <f t="shared" si="63"/>
        <v>0</v>
      </c>
      <c r="Y180" s="719">
        <f t="shared" si="63"/>
        <v>0</v>
      </c>
      <c r="Z180" s="790">
        <v>1</v>
      </c>
      <c r="AA180" s="791" t="s">
        <v>1188</v>
      </c>
      <c r="AB180" s="795">
        <v>3.76</v>
      </c>
      <c r="AC180" s="790">
        <f>AB180*I260</f>
        <v>312832</v>
      </c>
      <c r="AD180" s="797"/>
      <c r="AE180" s="790"/>
      <c r="AF180" s="790">
        <f>AC180+AD180+AE180</f>
        <v>312832</v>
      </c>
      <c r="AG180" s="790">
        <v>1</v>
      </c>
      <c r="AH180" s="791" t="s">
        <v>1311</v>
      </c>
      <c r="AI180" s="795">
        <v>3.76</v>
      </c>
      <c r="AJ180" s="790">
        <f>AI180*I260</f>
        <v>312832</v>
      </c>
      <c r="AK180" s="797"/>
      <c r="AL180" s="790"/>
      <c r="AM180" s="790">
        <f>AJ180+AK180+AL180</f>
        <v>312832</v>
      </c>
    </row>
    <row r="181" spans="1:39" s="837" customFormat="1" ht="18" customHeight="1">
      <c r="A181" s="826">
        <v>118</v>
      </c>
      <c r="B181" s="828"/>
      <c r="C181" s="829"/>
      <c r="D181" s="830"/>
      <c r="E181" s="567" t="s">
        <v>790</v>
      </c>
      <c r="F181" s="827" t="s">
        <v>1388</v>
      </c>
      <c r="G181" s="838">
        <v>1</v>
      </c>
      <c r="H181" s="832">
        <v>1</v>
      </c>
      <c r="I181" s="563">
        <v>3.76</v>
      </c>
      <c r="J181" s="561">
        <f>I181*I260</f>
        <v>312832</v>
      </c>
      <c r="K181" s="602"/>
      <c r="L181" s="561"/>
      <c r="M181" s="561">
        <f>SUM(J181:L181)</f>
        <v>312832</v>
      </c>
      <c r="N181" s="561">
        <v>1</v>
      </c>
      <c r="O181" s="832">
        <v>0</v>
      </c>
      <c r="P181" s="563">
        <v>3.76</v>
      </c>
      <c r="Q181" s="561">
        <f>P181*83200</f>
        <v>312832</v>
      </c>
      <c r="R181" s="602"/>
      <c r="S181" s="561"/>
      <c r="T181" s="561">
        <f>Q181+R181+S181</f>
        <v>312832</v>
      </c>
      <c r="U181" s="567">
        <f>+G181-N181</f>
        <v>0</v>
      </c>
      <c r="V181" s="833">
        <f t="shared" si="63"/>
        <v>0</v>
      </c>
      <c r="W181" s="567">
        <f t="shared" si="63"/>
        <v>0</v>
      </c>
      <c r="X181" s="833">
        <f t="shared" si="63"/>
        <v>0</v>
      </c>
      <c r="Y181" s="833">
        <f t="shared" si="63"/>
        <v>0</v>
      </c>
      <c r="Z181" s="561">
        <v>1</v>
      </c>
      <c r="AA181" s="832">
        <v>2</v>
      </c>
      <c r="AB181" s="563">
        <v>3.76</v>
      </c>
      <c r="AC181" s="561">
        <f>AB181*I260</f>
        <v>312832</v>
      </c>
      <c r="AD181" s="561"/>
      <c r="AE181" s="561"/>
      <c r="AF181" s="561">
        <f>SUM(AC181:AE181)</f>
        <v>312832</v>
      </c>
      <c r="AG181" s="561">
        <v>1</v>
      </c>
      <c r="AH181" s="832">
        <v>3</v>
      </c>
      <c r="AI181" s="563">
        <v>3.76</v>
      </c>
      <c r="AJ181" s="561">
        <f>AI181*I260</f>
        <v>312832</v>
      </c>
      <c r="AK181" s="602"/>
      <c r="AL181" s="561"/>
      <c r="AM181" s="561">
        <f>SUM(AJ181:AL181)</f>
        <v>312832</v>
      </c>
    </row>
    <row r="182" spans="1:39" s="837" customFormat="1" ht="18" customHeight="1">
      <c r="A182" s="826">
        <v>119</v>
      </c>
      <c r="B182" s="828"/>
      <c r="C182" s="829"/>
      <c r="D182" s="830"/>
      <c r="E182" s="567" t="s">
        <v>790</v>
      </c>
      <c r="F182" s="827" t="s">
        <v>1389</v>
      </c>
      <c r="G182" s="838">
        <v>1</v>
      </c>
      <c r="H182" s="832">
        <v>1</v>
      </c>
      <c r="I182" s="563">
        <v>3.76</v>
      </c>
      <c r="J182" s="561">
        <f>I182*I260</f>
        <v>312832</v>
      </c>
      <c r="K182" s="602"/>
      <c r="L182" s="561"/>
      <c r="M182" s="561">
        <f>SUM(J182:L182)</f>
        <v>312832</v>
      </c>
      <c r="N182" s="561">
        <v>1</v>
      </c>
      <c r="O182" s="832">
        <v>0</v>
      </c>
      <c r="P182" s="563">
        <v>3.76</v>
      </c>
      <c r="Q182" s="561">
        <f>P182*83200</f>
        <v>312832</v>
      </c>
      <c r="R182" s="602"/>
      <c r="S182" s="561"/>
      <c r="T182" s="561">
        <f>Q182+R182+S182</f>
        <v>312832</v>
      </c>
      <c r="U182" s="567">
        <f>+G182-N182</f>
        <v>0</v>
      </c>
      <c r="V182" s="833">
        <f t="shared" si="63"/>
        <v>0</v>
      </c>
      <c r="W182" s="567">
        <f t="shared" si="63"/>
        <v>0</v>
      </c>
      <c r="X182" s="833">
        <f t="shared" si="63"/>
        <v>0</v>
      </c>
      <c r="Y182" s="833">
        <f t="shared" si="63"/>
        <v>0</v>
      </c>
      <c r="Z182" s="561">
        <v>1</v>
      </c>
      <c r="AA182" s="832">
        <v>2</v>
      </c>
      <c r="AB182" s="563">
        <v>3.76</v>
      </c>
      <c r="AC182" s="561">
        <f>AB182*I260</f>
        <v>312832</v>
      </c>
      <c r="AD182" s="561"/>
      <c r="AE182" s="561"/>
      <c r="AF182" s="561">
        <f>SUM(AC182:AE182)</f>
        <v>312832</v>
      </c>
      <c r="AG182" s="561">
        <v>1</v>
      </c>
      <c r="AH182" s="832">
        <v>3</v>
      </c>
      <c r="AI182" s="563">
        <v>3.76</v>
      </c>
      <c r="AJ182" s="561">
        <f>AI182*I260</f>
        <v>312832</v>
      </c>
      <c r="AK182" s="602"/>
      <c r="AL182" s="561"/>
      <c r="AM182" s="561">
        <f>SUM(AJ182:AL182)</f>
        <v>312832</v>
      </c>
    </row>
    <row r="183" spans="1:39" s="837" customFormat="1" ht="18" customHeight="1">
      <c r="A183" s="826">
        <v>120</v>
      </c>
      <c r="B183" s="828"/>
      <c r="C183" s="829"/>
      <c r="D183" s="830"/>
      <c r="E183" s="567" t="s">
        <v>790</v>
      </c>
      <c r="F183" s="827" t="s">
        <v>1390</v>
      </c>
      <c r="G183" s="838">
        <v>1</v>
      </c>
      <c r="H183" s="832">
        <v>1</v>
      </c>
      <c r="I183" s="563">
        <v>3.76</v>
      </c>
      <c r="J183" s="561">
        <f>I183*I260</f>
        <v>312832</v>
      </c>
      <c r="K183" s="602"/>
      <c r="L183" s="561"/>
      <c r="M183" s="561">
        <f>SUM(J183:L183)</f>
        <v>312832</v>
      </c>
      <c r="N183" s="561">
        <v>1</v>
      </c>
      <c r="O183" s="832">
        <v>0</v>
      </c>
      <c r="P183" s="563">
        <v>3.76</v>
      </c>
      <c r="Q183" s="561">
        <f>P183*83200</f>
        <v>312832</v>
      </c>
      <c r="R183" s="602"/>
      <c r="S183" s="561"/>
      <c r="T183" s="561">
        <f>Q183+R183+S183</f>
        <v>312832</v>
      </c>
      <c r="U183" s="567">
        <f>+G183-N183</f>
        <v>0</v>
      </c>
      <c r="V183" s="833">
        <f t="shared" si="63"/>
        <v>0</v>
      </c>
      <c r="W183" s="567">
        <f t="shared" si="63"/>
        <v>0</v>
      </c>
      <c r="X183" s="833">
        <f t="shared" si="63"/>
        <v>0</v>
      </c>
      <c r="Y183" s="833">
        <f t="shared" si="63"/>
        <v>0</v>
      </c>
      <c r="Z183" s="561">
        <v>1</v>
      </c>
      <c r="AA183" s="832">
        <v>2</v>
      </c>
      <c r="AB183" s="563">
        <v>3.76</v>
      </c>
      <c r="AC183" s="561">
        <f>AB183*I260</f>
        <v>312832</v>
      </c>
      <c r="AD183" s="561"/>
      <c r="AE183" s="561"/>
      <c r="AF183" s="561">
        <f>SUM(AC183:AE183)</f>
        <v>312832</v>
      </c>
      <c r="AG183" s="561">
        <v>1</v>
      </c>
      <c r="AH183" s="832">
        <v>3</v>
      </c>
      <c r="AI183" s="563">
        <v>3.76</v>
      </c>
      <c r="AJ183" s="561">
        <f>AI183*I260</f>
        <v>312832</v>
      </c>
      <c r="AK183" s="602"/>
      <c r="AL183" s="561"/>
      <c r="AM183" s="561">
        <f>SUM(AJ183:AL183)</f>
        <v>312832</v>
      </c>
    </row>
    <row r="184" spans="1:39" s="740" customFormat="1" ht="18" customHeight="1">
      <c r="A184" s="826">
        <v>121</v>
      </c>
      <c r="B184" s="717"/>
      <c r="C184" s="792"/>
      <c r="D184" s="814"/>
      <c r="E184" s="718" t="s">
        <v>790</v>
      </c>
      <c r="F184" s="827" t="s">
        <v>1391</v>
      </c>
      <c r="G184" s="719">
        <v>1</v>
      </c>
      <c r="H184" s="791">
        <v>1</v>
      </c>
      <c r="I184" s="795">
        <v>3.76</v>
      </c>
      <c r="J184" s="790">
        <f>I184*I260</f>
        <v>312832</v>
      </c>
      <c r="K184" s="797"/>
      <c r="L184" s="790"/>
      <c r="M184" s="790">
        <f t="shared" si="61"/>
        <v>312832</v>
      </c>
      <c r="N184" s="790">
        <v>1</v>
      </c>
      <c r="O184" s="791">
        <v>0</v>
      </c>
      <c r="P184" s="795">
        <v>3.76</v>
      </c>
      <c r="Q184" s="790">
        <f>P184*83200</f>
        <v>312832</v>
      </c>
      <c r="R184" s="797"/>
      <c r="S184" s="790"/>
      <c r="T184" s="790">
        <f t="shared" si="64"/>
        <v>312832</v>
      </c>
      <c r="U184" s="718">
        <f t="shared" si="62"/>
        <v>0</v>
      </c>
      <c r="V184" s="719">
        <f t="shared" si="63"/>
        <v>0</v>
      </c>
      <c r="W184" s="718">
        <f t="shared" si="63"/>
        <v>0</v>
      </c>
      <c r="X184" s="719">
        <f t="shared" si="63"/>
        <v>0</v>
      </c>
      <c r="Y184" s="719">
        <f t="shared" si="63"/>
        <v>0</v>
      </c>
      <c r="Z184" s="790">
        <v>1</v>
      </c>
      <c r="AA184" s="791">
        <v>3</v>
      </c>
      <c r="AB184" s="795">
        <v>3.76</v>
      </c>
      <c r="AC184" s="790">
        <f>AB184*I260</f>
        <v>312832</v>
      </c>
      <c r="AD184" s="797"/>
      <c r="AE184" s="790"/>
      <c r="AF184" s="790">
        <f t="shared" si="65"/>
        <v>312832</v>
      </c>
      <c r="AG184" s="790">
        <v>1</v>
      </c>
      <c r="AH184" s="791">
        <v>4</v>
      </c>
      <c r="AI184" s="795">
        <v>3.76</v>
      </c>
      <c r="AJ184" s="790">
        <f>AI184*I260</f>
        <v>312832</v>
      </c>
      <c r="AK184" s="797"/>
      <c r="AL184" s="790"/>
      <c r="AM184" s="790">
        <f t="shared" si="66"/>
        <v>312832</v>
      </c>
    </row>
    <row r="185" spans="1:39" s="740" customFormat="1" ht="33" customHeight="1">
      <c r="A185" s="818"/>
      <c r="B185" s="811" t="s">
        <v>132</v>
      </c>
      <c r="C185" s="792"/>
      <c r="D185" s="814"/>
      <c r="E185" s="815"/>
      <c r="F185" s="815"/>
      <c r="G185" s="814">
        <f>SUM(G175:G184)</f>
        <v>10</v>
      </c>
      <c r="H185" s="816" t="s">
        <v>1</v>
      </c>
      <c r="I185" s="814" t="s">
        <v>1</v>
      </c>
      <c r="J185" s="814">
        <f>SUM(J175:J184)</f>
        <v>3574436</v>
      </c>
      <c r="K185" s="814">
        <f>SUM(K175:K184)</f>
        <v>0</v>
      </c>
      <c r="L185" s="814">
        <f>SUM(L175:L184)</f>
        <v>59829</v>
      </c>
      <c r="M185" s="814">
        <f>SUM(M175:M184)</f>
        <v>3634265</v>
      </c>
      <c r="N185" s="792">
        <f>SUM(N175:N184)</f>
        <v>10</v>
      </c>
      <c r="O185" s="816" t="s">
        <v>1</v>
      </c>
      <c r="P185" s="792" t="s">
        <v>1</v>
      </c>
      <c r="Q185" s="792">
        <f aca="true" t="shared" si="67" ref="Q185:V185">SUM(Q175:Q184)</f>
        <v>3574436</v>
      </c>
      <c r="R185" s="792">
        <f t="shared" si="67"/>
        <v>0</v>
      </c>
      <c r="S185" s="792">
        <f t="shared" si="67"/>
        <v>59829</v>
      </c>
      <c r="T185" s="792">
        <f t="shared" si="67"/>
        <v>3634265</v>
      </c>
      <c r="U185" s="792">
        <f t="shared" si="67"/>
        <v>0</v>
      </c>
      <c r="V185" s="792">
        <f t="shared" si="67"/>
        <v>0</v>
      </c>
      <c r="W185" s="815">
        <f>K185-R185</f>
        <v>0</v>
      </c>
      <c r="X185" s="814">
        <f>L185-S185</f>
        <v>0</v>
      </c>
      <c r="Y185" s="814">
        <f>M185-T185</f>
        <v>0</v>
      </c>
      <c r="Z185" s="792">
        <f>SUM(Z175:Z184)</f>
        <v>10</v>
      </c>
      <c r="AA185" s="816" t="s">
        <v>1</v>
      </c>
      <c r="AB185" s="792" t="s">
        <v>1</v>
      </c>
      <c r="AC185" s="792">
        <f>SUM(AC175:AC184)</f>
        <v>3598564</v>
      </c>
      <c r="AD185" s="792">
        <f>SUM(AD175:AD184)</f>
        <v>0</v>
      </c>
      <c r="AE185" s="792">
        <f>SUM(AE175:AE184)</f>
        <v>59829</v>
      </c>
      <c r="AF185" s="792">
        <f>SUM(AF175:AF184)</f>
        <v>3658393</v>
      </c>
      <c r="AG185" s="792">
        <f>SUM(AG175:AG184)</f>
        <v>10</v>
      </c>
      <c r="AH185" s="816" t="s">
        <v>1</v>
      </c>
      <c r="AI185" s="792" t="s">
        <v>1</v>
      </c>
      <c r="AJ185" s="792">
        <f>SUM(AJ175:AJ184)</f>
        <v>3598564</v>
      </c>
      <c r="AK185" s="792">
        <f>SUM(AK175:AK184)</f>
        <v>0</v>
      </c>
      <c r="AL185" s="792">
        <f>SUM(AL175:AL184)</f>
        <v>59829</v>
      </c>
      <c r="AM185" s="792">
        <f>SUM(AM175:AM184)</f>
        <v>3658393</v>
      </c>
    </row>
    <row r="186" spans="1:39" s="740" customFormat="1" ht="18" customHeight="1">
      <c r="A186" s="818"/>
      <c r="B186" s="717"/>
      <c r="C186" s="792"/>
      <c r="D186" s="814"/>
      <c r="E186" s="815"/>
      <c r="F186" s="815"/>
      <c r="G186" s="814"/>
      <c r="H186" s="816"/>
      <c r="I186" s="814"/>
      <c r="J186" s="814"/>
      <c r="K186" s="814"/>
      <c r="L186" s="814"/>
      <c r="M186" s="814"/>
      <c r="N186" s="792"/>
      <c r="O186" s="816"/>
      <c r="P186" s="792"/>
      <c r="Q186" s="792"/>
      <c r="R186" s="792"/>
      <c r="S186" s="792"/>
      <c r="T186" s="792"/>
      <c r="U186" s="815"/>
      <c r="V186" s="814"/>
      <c r="W186" s="815"/>
      <c r="X186" s="814"/>
      <c r="Y186" s="814"/>
      <c r="Z186" s="814"/>
      <c r="AA186" s="816"/>
      <c r="AB186" s="814"/>
      <c r="AC186" s="814"/>
      <c r="AD186" s="814"/>
      <c r="AE186" s="814"/>
      <c r="AF186" s="814"/>
      <c r="AG186" s="814"/>
      <c r="AH186" s="816"/>
      <c r="AI186" s="814"/>
      <c r="AJ186" s="814"/>
      <c r="AK186" s="814"/>
      <c r="AL186" s="840"/>
      <c r="AM186" s="840"/>
    </row>
    <row r="187" spans="1:37" s="825" customFormat="1" ht="18" customHeight="1">
      <c r="A187" s="818"/>
      <c r="B187" s="717" t="s">
        <v>131</v>
      </c>
      <c r="C187" s="792"/>
      <c r="D187" s="819"/>
      <c r="E187" s="717"/>
      <c r="F187" s="820"/>
      <c r="G187" s="1154" t="s">
        <v>1392</v>
      </c>
      <c r="H187" s="1155"/>
      <c r="I187" s="1155"/>
      <c r="J187" s="1155"/>
      <c r="K187" s="1155"/>
      <c r="L187" s="1155"/>
      <c r="M187" s="1156"/>
      <c r="N187" s="132"/>
      <c r="O187" s="821"/>
      <c r="P187" s="822"/>
      <c r="Q187" s="818"/>
      <c r="R187" s="717"/>
      <c r="S187" s="818"/>
      <c r="T187" s="818"/>
      <c r="U187" s="813"/>
      <c r="V187" s="823"/>
      <c r="W187" s="823"/>
      <c r="X187" s="823"/>
      <c r="Y187" s="819"/>
      <c r="Z187" s="820"/>
      <c r="AA187" s="821"/>
      <c r="AB187" s="818"/>
      <c r="AC187" s="818"/>
      <c r="AD187" s="818"/>
      <c r="AE187" s="818"/>
      <c r="AF187" s="820"/>
      <c r="AG187" s="820"/>
      <c r="AH187" s="824"/>
      <c r="AI187" s="717"/>
      <c r="AJ187" s="717"/>
      <c r="AK187" s="717"/>
    </row>
    <row r="188" spans="1:39" ht="18" customHeight="1">
      <c r="A188" s="826"/>
      <c r="B188" s="720"/>
      <c r="C188" s="790"/>
      <c r="D188" s="719"/>
      <c r="E188" s="718"/>
      <c r="F188" s="718"/>
      <c r="G188" s="719"/>
      <c r="H188" s="1157"/>
      <c r="I188" s="1158"/>
      <c r="J188" s="1158"/>
      <c r="K188" s="1158"/>
      <c r="L188" s="1158"/>
      <c r="M188" s="1159"/>
      <c r="N188" s="790"/>
      <c r="O188" s="791"/>
      <c r="P188" s="795"/>
      <c r="Q188" s="790"/>
      <c r="R188" s="797"/>
      <c r="S188" s="790"/>
      <c r="T188" s="790"/>
      <c r="U188" s="797"/>
      <c r="V188" s="798"/>
      <c r="W188" s="797"/>
      <c r="X188" s="798"/>
      <c r="Y188" s="798"/>
      <c r="Z188" s="790"/>
      <c r="AA188" s="791"/>
      <c r="AB188" s="718"/>
      <c r="AC188" s="790"/>
      <c r="AD188" s="790"/>
      <c r="AE188" s="790"/>
      <c r="AF188" s="790"/>
      <c r="AG188" s="790"/>
      <c r="AH188" s="791"/>
      <c r="AI188" s="718"/>
      <c r="AJ188" s="797"/>
      <c r="AK188" s="797"/>
      <c r="AL188" s="797"/>
      <c r="AM188" s="797"/>
    </row>
    <row r="189" spans="1:39" ht="18" customHeight="1">
      <c r="A189" s="826">
        <v>122</v>
      </c>
      <c r="B189" s="720"/>
      <c r="C189" s="790"/>
      <c r="D189" s="719"/>
      <c r="E189" s="799" t="s">
        <v>789</v>
      </c>
      <c r="F189" s="864" t="s">
        <v>1393</v>
      </c>
      <c r="G189" s="719">
        <v>1</v>
      </c>
      <c r="H189" s="791">
        <v>1</v>
      </c>
      <c r="I189" s="795">
        <v>5.52</v>
      </c>
      <c r="J189" s="790">
        <f>I189*I260</f>
        <v>459263.99999999994</v>
      </c>
      <c r="K189" s="797"/>
      <c r="L189" s="790"/>
      <c r="M189" s="790">
        <f>SUM(J189:L189)</f>
        <v>459263.99999999994</v>
      </c>
      <c r="N189" s="790">
        <v>1</v>
      </c>
      <c r="O189" s="791">
        <v>0</v>
      </c>
      <c r="P189" s="795">
        <v>5.52</v>
      </c>
      <c r="Q189" s="790">
        <f>P189*83200</f>
        <v>459263.99999999994</v>
      </c>
      <c r="R189" s="797"/>
      <c r="S189" s="790"/>
      <c r="T189" s="790">
        <f>Q189+R189+S189</f>
        <v>459263.99999999994</v>
      </c>
      <c r="U189" s="718">
        <f>+G189-N189</f>
        <v>0</v>
      </c>
      <c r="V189" s="719">
        <f aca="true" t="shared" si="68" ref="V189:Y192">J189-Q189</f>
        <v>0</v>
      </c>
      <c r="W189" s="718">
        <f t="shared" si="68"/>
        <v>0</v>
      </c>
      <c r="X189" s="719">
        <f t="shared" si="68"/>
        <v>0</v>
      </c>
      <c r="Y189" s="719">
        <f t="shared" si="68"/>
        <v>0</v>
      </c>
      <c r="Z189" s="719">
        <v>1</v>
      </c>
      <c r="AA189" s="791">
        <v>2</v>
      </c>
      <c r="AB189" s="795">
        <v>5.52</v>
      </c>
      <c r="AC189" s="790">
        <f>AB189*I260</f>
        <v>459263.99999999994</v>
      </c>
      <c r="AD189" s="797"/>
      <c r="AE189" s="790"/>
      <c r="AF189" s="790">
        <f>SUM(AC189:AE189)</f>
        <v>459263.99999999994</v>
      </c>
      <c r="AG189" s="719">
        <v>1</v>
      </c>
      <c r="AH189" s="791">
        <v>3</v>
      </c>
      <c r="AI189" s="795">
        <v>5.52</v>
      </c>
      <c r="AJ189" s="790">
        <f>AI189*I260</f>
        <v>459263.99999999994</v>
      </c>
      <c r="AK189" s="797"/>
      <c r="AL189" s="790"/>
      <c r="AM189" s="790">
        <f>SUM(AJ189:AL189)</f>
        <v>459263.99999999994</v>
      </c>
    </row>
    <row r="190" spans="1:39" ht="18" customHeight="1">
      <c r="A190" s="826"/>
      <c r="B190" s="720"/>
      <c r="C190" s="790"/>
      <c r="D190" s="719"/>
      <c r="E190" s="799"/>
      <c r="F190" s="718"/>
      <c r="G190" s="719"/>
      <c r="H190" s="865" t="s">
        <v>1394</v>
      </c>
      <c r="I190" s="866"/>
      <c r="J190" s="866"/>
      <c r="K190" s="866"/>
      <c r="L190" s="866"/>
      <c r="M190" s="867"/>
      <c r="N190" s="790"/>
      <c r="O190" s="791"/>
      <c r="P190" s="795"/>
      <c r="Q190" s="790"/>
      <c r="R190" s="797"/>
      <c r="S190" s="790"/>
      <c r="T190" s="790"/>
      <c r="U190" s="718"/>
      <c r="V190" s="719"/>
      <c r="W190" s="718"/>
      <c r="X190" s="719"/>
      <c r="Y190" s="719"/>
      <c r="Z190" s="719"/>
      <c r="AA190" s="791"/>
      <c r="AB190" s="795"/>
      <c r="AC190" s="790"/>
      <c r="AD190" s="797"/>
      <c r="AE190" s="790"/>
      <c r="AF190" s="790"/>
      <c r="AG190" s="719"/>
      <c r="AH190" s="791"/>
      <c r="AI190" s="795"/>
      <c r="AJ190" s="790"/>
      <c r="AK190" s="797"/>
      <c r="AL190" s="790"/>
      <c r="AM190" s="790"/>
    </row>
    <row r="191" spans="1:39" ht="18" customHeight="1">
      <c r="A191" s="826">
        <v>123</v>
      </c>
      <c r="B191" s="720" t="s">
        <v>762</v>
      </c>
      <c r="C191" s="790" t="s">
        <v>703</v>
      </c>
      <c r="D191" s="719">
        <v>1971</v>
      </c>
      <c r="E191" s="799" t="s">
        <v>776</v>
      </c>
      <c r="F191" s="864" t="s">
        <v>1395</v>
      </c>
      <c r="G191" s="719">
        <v>1</v>
      </c>
      <c r="H191" s="791" t="s">
        <v>1208</v>
      </c>
      <c r="I191" s="795">
        <v>4.85</v>
      </c>
      <c r="J191" s="790">
        <f>I191*I260</f>
        <v>403519.99999999994</v>
      </c>
      <c r="K191" s="797"/>
      <c r="L191" s="790">
        <f>J191*5/100</f>
        <v>20175.999999999996</v>
      </c>
      <c r="M191" s="790">
        <f>SUM(J191:L191)</f>
        <v>423695.99999999994</v>
      </c>
      <c r="N191" s="790">
        <v>1</v>
      </c>
      <c r="O191" s="791" t="s">
        <v>1234</v>
      </c>
      <c r="P191" s="795">
        <v>4.85</v>
      </c>
      <c r="Q191" s="790">
        <f>P191*83200</f>
        <v>403519.99999999994</v>
      </c>
      <c r="R191" s="797"/>
      <c r="S191" s="790">
        <f>Q191*5/100</f>
        <v>20175.999999999996</v>
      </c>
      <c r="T191" s="790">
        <f>Q191+R191+S191</f>
        <v>423695.99999999994</v>
      </c>
      <c r="U191" s="718">
        <f>+G191-N191</f>
        <v>0</v>
      </c>
      <c r="V191" s="719">
        <f t="shared" si="68"/>
        <v>0</v>
      </c>
      <c r="W191" s="718">
        <f t="shared" si="68"/>
        <v>0</v>
      </c>
      <c r="X191" s="719">
        <f t="shared" si="68"/>
        <v>0</v>
      </c>
      <c r="Y191" s="719">
        <f t="shared" si="68"/>
        <v>0</v>
      </c>
      <c r="Z191" s="719">
        <v>1</v>
      </c>
      <c r="AA191" s="791" t="s">
        <v>1207</v>
      </c>
      <c r="AB191" s="795">
        <v>4.85</v>
      </c>
      <c r="AC191" s="790">
        <f>AB191*I260</f>
        <v>403519.99999999994</v>
      </c>
      <c r="AD191" s="797"/>
      <c r="AE191" s="790">
        <f>AC191*5/100</f>
        <v>20175.999999999996</v>
      </c>
      <c r="AF191" s="790">
        <f>SUM(AC191:AE191)</f>
        <v>423695.99999999994</v>
      </c>
      <c r="AG191" s="719">
        <v>1</v>
      </c>
      <c r="AH191" s="791" t="s">
        <v>1209</v>
      </c>
      <c r="AI191" s="795">
        <v>5.01</v>
      </c>
      <c r="AJ191" s="790">
        <f>AI191*I260</f>
        <v>416832</v>
      </c>
      <c r="AK191" s="797"/>
      <c r="AL191" s="790">
        <f>AJ191*5/100</f>
        <v>20841.6</v>
      </c>
      <c r="AM191" s="790">
        <f>SUM(AJ191:AL191)</f>
        <v>437673.6</v>
      </c>
    </row>
    <row r="192" spans="1:39" s="837" customFormat="1" ht="18" customHeight="1">
      <c r="A192" s="826">
        <v>124</v>
      </c>
      <c r="B192" s="828" t="s">
        <v>763</v>
      </c>
      <c r="C192" s="561" t="s">
        <v>703</v>
      </c>
      <c r="D192" s="833">
        <v>1962</v>
      </c>
      <c r="E192" s="567" t="s">
        <v>790</v>
      </c>
      <c r="F192" s="827" t="s">
        <v>1396</v>
      </c>
      <c r="G192" s="830">
        <v>1</v>
      </c>
      <c r="H192" s="834" t="s">
        <v>1169</v>
      </c>
      <c r="I192" s="835">
        <v>4.13</v>
      </c>
      <c r="J192" s="829">
        <f>IF((I192*I260)&lt;362970,362970,I192*I260)</f>
        <v>362970</v>
      </c>
      <c r="K192" s="836"/>
      <c r="L192" s="829">
        <f>J192*5/100</f>
        <v>18148.5</v>
      </c>
      <c r="M192" s="830">
        <f>SUM(J192:L192)</f>
        <v>381118.5</v>
      </c>
      <c r="N192" s="829">
        <v>1</v>
      </c>
      <c r="O192" s="834" t="s">
        <v>1168</v>
      </c>
      <c r="P192" s="835">
        <v>4.13</v>
      </c>
      <c r="Q192" s="829">
        <f>IF((P192*83200)&lt;362970,362970,P192*83200)</f>
        <v>362970</v>
      </c>
      <c r="R192" s="836"/>
      <c r="S192" s="830">
        <f>Q192*5/100</f>
        <v>18148.5</v>
      </c>
      <c r="T192" s="830">
        <f>Q192+R192+S192</f>
        <v>381118.5</v>
      </c>
      <c r="U192" s="831">
        <f>+G192-N192</f>
        <v>0</v>
      </c>
      <c r="V192" s="830">
        <f t="shared" si="68"/>
        <v>0</v>
      </c>
      <c r="W192" s="831">
        <f t="shared" si="68"/>
        <v>0</v>
      </c>
      <c r="X192" s="830">
        <f t="shared" si="68"/>
        <v>0</v>
      </c>
      <c r="Y192" s="830">
        <f t="shared" si="68"/>
        <v>0</v>
      </c>
      <c r="Z192" s="830">
        <v>1</v>
      </c>
      <c r="AA192" s="834" t="s">
        <v>1162</v>
      </c>
      <c r="AB192" s="835">
        <v>4.27</v>
      </c>
      <c r="AC192" s="829">
        <f>IF((AB192*I260)&lt;362970,362970,AB192*I260)</f>
        <v>362970</v>
      </c>
      <c r="AD192" s="836"/>
      <c r="AE192" s="829">
        <f>AC192*5/100</f>
        <v>18148.5</v>
      </c>
      <c r="AF192" s="830">
        <f>SUM(AC192:AE192)</f>
        <v>381118.5</v>
      </c>
      <c r="AG192" s="830">
        <v>1</v>
      </c>
      <c r="AH192" s="834" t="s">
        <v>1161</v>
      </c>
      <c r="AI192" s="835">
        <v>4.27</v>
      </c>
      <c r="AJ192" s="829">
        <f>IF((AI192*I260)&lt;362970,362970,AI192*I260)</f>
        <v>362970</v>
      </c>
      <c r="AK192" s="836"/>
      <c r="AL192" s="829">
        <f>AJ192*5/100</f>
        <v>18148.5</v>
      </c>
      <c r="AM192" s="830">
        <f>SUM(AJ192:AL192)</f>
        <v>381118.5</v>
      </c>
    </row>
    <row r="193" spans="1:39" s="740" customFormat="1" ht="18" customHeight="1">
      <c r="A193" s="826">
        <v>125</v>
      </c>
      <c r="B193" s="720"/>
      <c r="C193" s="792"/>
      <c r="D193" s="814"/>
      <c r="E193" s="718" t="s">
        <v>790</v>
      </c>
      <c r="F193" s="827" t="s">
        <v>1397</v>
      </c>
      <c r="G193" s="719">
        <v>1</v>
      </c>
      <c r="H193" s="791">
        <v>1</v>
      </c>
      <c r="I193" s="795">
        <v>3.76</v>
      </c>
      <c r="J193" s="790">
        <f>I193*I260</f>
        <v>312832</v>
      </c>
      <c r="K193" s="797"/>
      <c r="L193" s="790"/>
      <c r="M193" s="719">
        <f>SUM(J193:L193)</f>
        <v>312832</v>
      </c>
      <c r="N193" s="790">
        <v>1</v>
      </c>
      <c r="O193" s="791">
        <v>0</v>
      </c>
      <c r="P193" s="795">
        <v>3.76</v>
      </c>
      <c r="Q193" s="790">
        <f>P193*83200</f>
        <v>312832</v>
      </c>
      <c r="R193" s="797"/>
      <c r="S193" s="790"/>
      <c r="T193" s="790">
        <f>Q193+R193+S193</f>
        <v>312832</v>
      </c>
      <c r="U193" s="718">
        <f>+G193-N193</f>
        <v>0</v>
      </c>
      <c r="V193" s="719">
        <f>J193-Q193</f>
        <v>0</v>
      </c>
      <c r="W193" s="718">
        <f>K193-R193</f>
        <v>0</v>
      </c>
      <c r="X193" s="719">
        <f>L193-S193</f>
        <v>0</v>
      </c>
      <c r="Y193" s="719">
        <f>M193-T193</f>
        <v>0</v>
      </c>
      <c r="Z193" s="790">
        <v>1</v>
      </c>
      <c r="AA193" s="791">
        <v>0</v>
      </c>
      <c r="AB193" s="795">
        <v>3.76</v>
      </c>
      <c r="AC193" s="790">
        <f>AB193*I260</f>
        <v>312832</v>
      </c>
      <c r="AD193" s="797"/>
      <c r="AE193" s="790"/>
      <c r="AF193" s="790">
        <f>AC193+AD193+AE193</f>
        <v>312832</v>
      </c>
      <c r="AG193" s="790">
        <v>1</v>
      </c>
      <c r="AH193" s="791">
        <v>0</v>
      </c>
      <c r="AI193" s="795">
        <v>3.76</v>
      </c>
      <c r="AJ193" s="790">
        <f>AI193*I260</f>
        <v>312832</v>
      </c>
      <c r="AK193" s="797"/>
      <c r="AL193" s="790"/>
      <c r="AM193" s="790">
        <f>AJ193+AK193+AL193</f>
        <v>312832</v>
      </c>
    </row>
    <row r="194" spans="1:37" s="750" customFormat="1" ht="18" customHeight="1">
      <c r="A194" s="826"/>
      <c r="B194" s="720"/>
      <c r="C194" s="790"/>
      <c r="D194" s="842"/>
      <c r="E194" s="720"/>
      <c r="F194" s="826"/>
      <c r="H194" s="868" t="s">
        <v>1398</v>
      </c>
      <c r="I194" s="869"/>
      <c r="J194" s="869"/>
      <c r="K194" s="869"/>
      <c r="L194" s="869"/>
      <c r="M194" s="869"/>
      <c r="N194" s="870"/>
      <c r="O194" s="847"/>
      <c r="P194" s="848"/>
      <c r="Q194" s="826"/>
      <c r="R194" s="842"/>
      <c r="S194" s="841"/>
      <c r="T194" s="790"/>
      <c r="U194" s="718"/>
      <c r="V194" s="719"/>
      <c r="W194" s="718"/>
      <c r="X194" s="719"/>
      <c r="Y194" s="719"/>
      <c r="Z194" s="790"/>
      <c r="AA194" s="847"/>
      <c r="AB194" s="842"/>
      <c r="AC194" s="826"/>
      <c r="AD194" s="841"/>
      <c r="AE194" s="826"/>
      <c r="AF194" s="826"/>
      <c r="AG194" s="826"/>
      <c r="AH194" s="847"/>
      <c r="AI194" s="720"/>
      <c r="AJ194" s="720"/>
      <c r="AK194" s="841"/>
    </row>
    <row r="195" spans="1:39" ht="18" customHeight="1">
      <c r="A195" s="826">
        <v>126</v>
      </c>
      <c r="B195" s="720" t="s">
        <v>764</v>
      </c>
      <c r="C195" s="790" t="s">
        <v>697</v>
      </c>
      <c r="D195" s="719">
        <v>1965</v>
      </c>
      <c r="E195" s="718" t="s">
        <v>776</v>
      </c>
      <c r="F195" s="864" t="s">
        <v>1399</v>
      </c>
      <c r="G195" s="719">
        <v>1</v>
      </c>
      <c r="H195" s="791" t="s">
        <v>1400</v>
      </c>
      <c r="I195" s="795">
        <v>4.85</v>
      </c>
      <c r="J195" s="790">
        <f>I195*I260</f>
        <v>403519.99999999994</v>
      </c>
      <c r="K195" s="797"/>
      <c r="L195" s="790"/>
      <c r="M195" s="719">
        <f>SUM(J195:L195)</f>
        <v>403519.99999999994</v>
      </c>
      <c r="N195" s="790">
        <v>1</v>
      </c>
      <c r="O195" s="791" t="s">
        <v>1401</v>
      </c>
      <c r="P195" s="795">
        <v>4.7</v>
      </c>
      <c r="Q195" s="790">
        <f>P195*83200</f>
        <v>391040</v>
      </c>
      <c r="R195" s="797"/>
      <c r="S195" s="790"/>
      <c r="T195" s="790">
        <f>Q195+R195+S195</f>
        <v>391040</v>
      </c>
      <c r="U195" s="718">
        <f>+G195-N195</f>
        <v>0</v>
      </c>
      <c r="V195" s="719">
        <f>J195-Q195</f>
        <v>12479.999999999942</v>
      </c>
      <c r="W195" s="718">
        <f>K195-R195</f>
        <v>0</v>
      </c>
      <c r="X195" s="719">
        <f>L195-S195</f>
        <v>0</v>
      </c>
      <c r="Y195" s="719">
        <f>M195-T195</f>
        <v>12479.999999999942</v>
      </c>
      <c r="Z195" s="790">
        <v>1</v>
      </c>
      <c r="AA195" s="791" t="s">
        <v>1402</v>
      </c>
      <c r="AB195" s="795">
        <v>4.85</v>
      </c>
      <c r="AC195" s="790">
        <f>AB195*I260</f>
        <v>403519.99999999994</v>
      </c>
      <c r="AD195" s="797"/>
      <c r="AE195" s="790"/>
      <c r="AF195" s="790">
        <f>AC195+AD195+AE195</f>
        <v>403519.99999999994</v>
      </c>
      <c r="AG195" s="790">
        <v>1</v>
      </c>
      <c r="AH195" s="791" t="s">
        <v>1403</v>
      </c>
      <c r="AI195" s="795">
        <v>4.85</v>
      </c>
      <c r="AJ195" s="790">
        <f>AI195*I260</f>
        <v>403519.99999999994</v>
      </c>
      <c r="AK195" s="797"/>
      <c r="AL195" s="790"/>
      <c r="AM195" s="790">
        <f>AJ195+AK195+AL195</f>
        <v>403519.99999999994</v>
      </c>
    </row>
    <row r="196" spans="1:39" ht="18" customHeight="1">
      <c r="A196" s="826">
        <v>127</v>
      </c>
      <c r="B196" s="720"/>
      <c r="C196" s="790"/>
      <c r="D196" s="719"/>
      <c r="E196" s="718" t="s">
        <v>790</v>
      </c>
      <c r="F196" s="827" t="s">
        <v>1404</v>
      </c>
      <c r="G196" s="719">
        <v>1</v>
      </c>
      <c r="H196" s="791">
        <v>1</v>
      </c>
      <c r="I196" s="795">
        <v>3.76</v>
      </c>
      <c r="J196" s="790">
        <f>I196*I260</f>
        <v>312832</v>
      </c>
      <c r="K196" s="797"/>
      <c r="L196" s="790"/>
      <c r="M196" s="790">
        <f>SUM(J196:L196)</f>
        <v>312832</v>
      </c>
      <c r="N196" s="790">
        <v>1</v>
      </c>
      <c r="O196" s="791">
        <v>0</v>
      </c>
      <c r="P196" s="795">
        <v>3.76</v>
      </c>
      <c r="Q196" s="790">
        <f>P196*83200</f>
        <v>312832</v>
      </c>
      <c r="R196" s="797"/>
      <c r="S196" s="790"/>
      <c r="T196" s="790">
        <f>SUM(Q196:S196)</f>
        <v>312832</v>
      </c>
      <c r="U196" s="718">
        <f>+G196-N196</f>
        <v>0</v>
      </c>
      <c r="V196" s="719">
        <f aca="true" t="shared" si="69" ref="V196:X197">J196-Q196</f>
        <v>0</v>
      </c>
      <c r="W196" s="718">
        <f t="shared" si="69"/>
        <v>0</v>
      </c>
      <c r="X196" s="719">
        <f t="shared" si="69"/>
        <v>0</v>
      </c>
      <c r="Y196" s="719">
        <f>M196-T196</f>
        <v>0</v>
      </c>
      <c r="Z196" s="790">
        <v>1</v>
      </c>
      <c r="AA196" s="791">
        <v>2</v>
      </c>
      <c r="AB196" s="795">
        <v>3.76</v>
      </c>
      <c r="AC196" s="790">
        <f>AB196*I260</f>
        <v>312832</v>
      </c>
      <c r="AD196" s="790"/>
      <c r="AE196" s="790"/>
      <c r="AF196" s="790">
        <f>SUM(AC196:AE196)</f>
        <v>312832</v>
      </c>
      <c r="AG196" s="790">
        <v>1</v>
      </c>
      <c r="AH196" s="791">
        <v>3</v>
      </c>
      <c r="AI196" s="795">
        <v>3.76</v>
      </c>
      <c r="AJ196" s="790">
        <f>AI196*I260</f>
        <v>312832</v>
      </c>
      <c r="AK196" s="797"/>
      <c r="AL196" s="790"/>
      <c r="AM196" s="790">
        <f>SUM(AJ196:AL196)</f>
        <v>312832</v>
      </c>
    </row>
    <row r="197" spans="1:39" s="740" customFormat="1" ht="18" customHeight="1">
      <c r="A197" s="826">
        <v>128</v>
      </c>
      <c r="B197" s="720"/>
      <c r="C197" s="792"/>
      <c r="D197" s="814"/>
      <c r="E197" s="718" t="s">
        <v>790</v>
      </c>
      <c r="F197" s="827" t="s">
        <v>1405</v>
      </c>
      <c r="G197" s="719">
        <v>1</v>
      </c>
      <c r="H197" s="791">
        <v>1</v>
      </c>
      <c r="I197" s="795">
        <v>3.76</v>
      </c>
      <c r="J197" s="790">
        <f>I197*I260</f>
        <v>312832</v>
      </c>
      <c r="K197" s="797"/>
      <c r="L197" s="790"/>
      <c r="M197" s="719">
        <f>SUM(J197:L197)</f>
        <v>312832</v>
      </c>
      <c r="N197" s="790">
        <v>1</v>
      </c>
      <c r="O197" s="791">
        <v>0</v>
      </c>
      <c r="P197" s="795">
        <v>3.76</v>
      </c>
      <c r="Q197" s="790">
        <f>P197*83200</f>
        <v>312832</v>
      </c>
      <c r="R197" s="797"/>
      <c r="S197" s="790"/>
      <c r="T197" s="790">
        <f>Q197+R197+S197</f>
        <v>312832</v>
      </c>
      <c r="U197" s="718">
        <f>+G197-N197</f>
        <v>0</v>
      </c>
      <c r="V197" s="719">
        <f t="shared" si="69"/>
        <v>0</v>
      </c>
      <c r="W197" s="718">
        <f t="shared" si="69"/>
        <v>0</v>
      </c>
      <c r="X197" s="719">
        <f t="shared" si="69"/>
        <v>0</v>
      </c>
      <c r="Y197" s="719">
        <f>M197-T197</f>
        <v>0</v>
      </c>
      <c r="Z197" s="790">
        <v>1</v>
      </c>
      <c r="AA197" s="791">
        <v>0</v>
      </c>
      <c r="AB197" s="795">
        <v>3.76</v>
      </c>
      <c r="AC197" s="790">
        <f>AB197*I260</f>
        <v>312832</v>
      </c>
      <c r="AD197" s="797"/>
      <c r="AE197" s="790"/>
      <c r="AF197" s="790">
        <f>AC197+AD197+AE197</f>
        <v>312832</v>
      </c>
      <c r="AG197" s="790">
        <v>1</v>
      </c>
      <c r="AH197" s="791">
        <v>0</v>
      </c>
      <c r="AI197" s="795">
        <v>3.76</v>
      </c>
      <c r="AJ197" s="790">
        <f>AI197*I260</f>
        <v>312832</v>
      </c>
      <c r="AK197" s="797"/>
      <c r="AL197" s="790"/>
      <c r="AM197" s="790">
        <f>AJ197+AK197+AL197</f>
        <v>312832</v>
      </c>
    </row>
    <row r="198" spans="1:39" ht="18" customHeight="1">
      <c r="A198" s="826"/>
      <c r="B198" s="720"/>
      <c r="C198" s="790"/>
      <c r="D198" s="719"/>
      <c r="E198" s="718"/>
      <c r="F198" s="718"/>
      <c r="G198" s="719"/>
      <c r="H198" s="791"/>
      <c r="I198" s="795"/>
      <c r="J198" s="790"/>
      <c r="K198" s="797"/>
      <c r="L198" s="790"/>
      <c r="M198" s="790"/>
      <c r="N198" s="790"/>
      <c r="O198" s="791"/>
      <c r="P198" s="795"/>
      <c r="Q198" s="790"/>
      <c r="R198" s="797"/>
      <c r="S198" s="790"/>
      <c r="T198" s="790"/>
      <c r="U198" s="718">
        <f>+G198-N198</f>
        <v>0</v>
      </c>
      <c r="V198" s="719"/>
      <c r="W198" s="718"/>
      <c r="X198" s="719">
        <f>L198-S198</f>
        <v>0</v>
      </c>
      <c r="Y198" s="719"/>
      <c r="Z198" s="790"/>
      <c r="AA198" s="791"/>
      <c r="AB198" s="795"/>
      <c r="AC198" s="790"/>
      <c r="AD198" s="797"/>
      <c r="AE198" s="790"/>
      <c r="AF198" s="790"/>
      <c r="AG198" s="790"/>
      <c r="AH198" s="791"/>
      <c r="AI198" s="795"/>
      <c r="AJ198" s="790"/>
      <c r="AK198" s="797"/>
      <c r="AL198" s="790"/>
      <c r="AM198" s="790"/>
    </row>
    <row r="199" spans="1:39" s="740" customFormat="1" ht="18" customHeight="1">
      <c r="A199" s="818"/>
      <c r="B199" s="811" t="s">
        <v>132</v>
      </c>
      <c r="C199" s="792"/>
      <c r="D199" s="814"/>
      <c r="E199" s="815"/>
      <c r="F199" s="815"/>
      <c r="G199" s="814">
        <f>SUM(G189:G198)</f>
        <v>7</v>
      </c>
      <c r="H199" s="816" t="s">
        <v>1</v>
      </c>
      <c r="I199" s="814" t="s">
        <v>1</v>
      </c>
      <c r="J199" s="814">
        <f>SUM(J189:J198)</f>
        <v>2567770</v>
      </c>
      <c r="K199" s="814">
        <f>SUM(K189:K198)</f>
        <v>0</v>
      </c>
      <c r="L199" s="814">
        <f>SUM(L189:L198)</f>
        <v>38324.5</v>
      </c>
      <c r="M199" s="814">
        <f>SUM(M189:M198)</f>
        <v>2606094.5</v>
      </c>
      <c r="N199" s="814">
        <f>SUM(N189:N198)</f>
        <v>7</v>
      </c>
      <c r="O199" s="816" t="s">
        <v>1</v>
      </c>
      <c r="P199" s="792" t="s">
        <v>1</v>
      </c>
      <c r="Q199" s="814">
        <f aca="true" t="shared" si="70" ref="Q199:Z199">SUM(Q189:Q198)</f>
        <v>2555290</v>
      </c>
      <c r="R199" s="814">
        <f t="shared" si="70"/>
        <v>0</v>
      </c>
      <c r="S199" s="814">
        <f t="shared" si="70"/>
        <v>38324.5</v>
      </c>
      <c r="T199" s="814">
        <f t="shared" si="70"/>
        <v>2593614.5</v>
      </c>
      <c r="U199" s="814">
        <f t="shared" si="70"/>
        <v>0</v>
      </c>
      <c r="V199" s="814">
        <f t="shared" si="70"/>
        <v>12479.999999999942</v>
      </c>
      <c r="W199" s="814">
        <f t="shared" si="70"/>
        <v>0</v>
      </c>
      <c r="X199" s="814">
        <f t="shared" si="70"/>
        <v>0</v>
      </c>
      <c r="Y199" s="814">
        <f t="shared" si="70"/>
        <v>12479.999999999942</v>
      </c>
      <c r="Z199" s="814">
        <f t="shared" si="70"/>
        <v>7</v>
      </c>
      <c r="AA199" s="816" t="s">
        <v>1</v>
      </c>
      <c r="AB199" s="814" t="s">
        <v>1</v>
      </c>
      <c r="AC199" s="814">
        <f>SUM(AC189:AC198)</f>
        <v>2567770</v>
      </c>
      <c r="AD199" s="814">
        <f>SUM(AD189:AD198)</f>
        <v>0</v>
      </c>
      <c r="AE199" s="814">
        <f>SUM(AE189:AE198)</f>
        <v>38324.5</v>
      </c>
      <c r="AF199" s="814">
        <f>SUM(AF189:AF198)</f>
        <v>2606094.5</v>
      </c>
      <c r="AG199" s="814">
        <f>SUM(AG189:AG198)</f>
        <v>7</v>
      </c>
      <c r="AH199" s="816"/>
      <c r="AI199" s="792"/>
      <c r="AJ199" s="814">
        <f>SUM(AJ189:AJ198)</f>
        <v>2581082</v>
      </c>
      <c r="AK199" s="814">
        <f>SUM(AK189:AK198)</f>
        <v>0</v>
      </c>
      <c r="AL199" s="814">
        <f>SUM(AL189:AL198)</f>
        <v>38990.1</v>
      </c>
      <c r="AM199" s="814">
        <f>SUM(AM189:AM198)</f>
        <v>2620072.0999999996</v>
      </c>
    </row>
    <row r="200" spans="1:39" s="740" customFormat="1" ht="18" customHeight="1">
      <c r="A200" s="818"/>
      <c r="B200" s="811"/>
      <c r="C200" s="792"/>
      <c r="D200" s="814"/>
      <c r="E200" s="815"/>
      <c r="F200" s="815"/>
      <c r="G200" s="814"/>
      <c r="H200" s="839"/>
      <c r="I200" s="776"/>
      <c r="J200" s="776"/>
      <c r="K200" s="776"/>
      <c r="L200" s="776"/>
      <c r="M200" s="776"/>
      <c r="N200" s="862"/>
      <c r="O200" s="816"/>
      <c r="P200" s="792"/>
      <c r="Q200" s="814"/>
      <c r="R200" s="814"/>
      <c r="S200" s="814"/>
      <c r="T200" s="814"/>
      <c r="U200" s="814"/>
      <c r="V200" s="814"/>
      <c r="W200" s="814"/>
      <c r="X200" s="814"/>
      <c r="Y200" s="814"/>
      <c r="Z200" s="814"/>
      <c r="AA200" s="816"/>
      <c r="AB200" s="814"/>
      <c r="AC200" s="814"/>
      <c r="AD200" s="814"/>
      <c r="AE200" s="814"/>
      <c r="AF200" s="814"/>
      <c r="AG200" s="814"/>
      <c r="AH200" s="816"/>
      <c r="AI200" s="792"/>
      <c r="AJ200" s="814"/>
      <c r="AK200" s="814"/>
      <c r="AL200" s="840"/>
      <c r="AM200" s="840"/>
    </row>
    <row r="201" spans="1:37" s="750" customFormat="1" ht="18" customHeight="1">
      <c r="A201" s="818"/>
      <c r="B201" s="717" t="s">
        <v>131</v>
      </c>
      <c r="C201" s="790"/>
      <c r="D201" s="819"/>
      <c r="E201" s="717"/>
      <c r="F201" s="820"/>
      <c r="G201" s="1135" t="s">
        <v>771</v>
      </c>
      <c r="H201" s="1136"/>
      <c r="I201" s="1136"/>
      <c r="J201" s="1136"/>
      <c r="K201" s="1136"/>
      <c r="L201" s="1136"/>
      <c r="M201" s="1136"/>
      <c r="N201" s="1137"/>
      <c r="O201" s="821"/>
      <c r="P201" s="822"/>
      <c r="Q201" s="818"/>
      <c r="R201" s="717"/>
      <c r="S201" s="818"/>
      <c r="T201" s="818"/>
      <c r="U201" s="717"/>
      <c r="V201" s="823"/>
      <c r="W201" s="717"/>
      <c r="X201" s="823"/>
      <c r="Y201" s="719">
        <f>M201-T201</f>
        <v>0</v>
      </c>
      <c r="Z201" s="820"/>
      <c r="AA201" s="821"/>
      <c r="AB201" s="818"/>
      <c r="AC201" s="818"/>
      <c r="AD201" s="818"/>
      <c r="AE201" s="818"/>
      <c r="AF201" s="820"/>
      <c r="AG201" s="820"/>
      <c r="AH201" s="824"/>
      <c r="AI201" s="717"/>
      <c r="AJ201" s="717"/>
      <c r="AK201" s="717"/>
    </row>
    <row r="202" spans="1:39" ht="18" customHeight="1">
      <c r="A202" s="826"/>
      <c r="B202" s="720"/>
      <c r="C202" s="790"/>
      <c r="D202" s="719"/>
      <c r="E202" s="718"/>
      <c r="F202" s="718"/>
      <c r="G202" s="719"/>
      <c r="H202" s="791"/>
      <c r="I202" s="795"/>
      <c r="J202" s="790"/>
      <c r="K202" s="797"/>
      <c r="L202" s="790"/>
      <c r="M202" s="790"/>
      <c r="N202" s="790"/>
      <c r="O202" s="791"/>
      <c r="P202" s="795"/>
      <c r="Q202" s="790"/>
      <c r="R202" s="797"/>
      <c r="S202" s="790"/>
      <c r="T202" s="790"/>
      <c r="U202" s="797"/>
      <c r="V202" s="798"/>
      <c r="W202" s="797"/>
      <c r="X202" s="798"/>
      <c r="Y202" s="798"/>
      <c r="Z202" s="790"/>
      <c r="AA202" s="791"/>
      <c r="AB202" s="718"/>
      <c r="AC202" s="790"/>
      <c r="AD202" s="790"/>
      <c r="AE202" s="790"/>
      <c r="AF202" s="790"/>
      <c r="AG202" s="790"/>
      <c r="AH202" s="791"/>
      <c r="AI202" s="718"/>
      <c r="AJ202" s="797"/>
      <c r="AK202" s="797"/>
      <c r="AL202" s="797"/>
      <c r="AM202" s="797"/>
    </row>
    <row r="203" spans="1:39" ht="18" customHeight="1">
      <c r="A203" s="826">
        <v>129</v>
      </c>
      <c r="B203" s="720" t="s">
        <v>772</v>
      </c>
      <c r="C203" s="790" t="s">
        <v>697</v>
      </c>
      <c r="D203" s="719">
        <v>1962</v>
      </c>
      <c r="E203" s="799" t="s">
        <v>789</v>
      </c>
      <c r="F203" s="827" t="s">
        <v>1406</v>
      </c>
      <c r="G203" s="719">
        <v>1</v>
      </c>
      <c r="H203" s="791" t="s">
        <v>1322</v>
      </c>
      <c r="I203" s="795">
        <v>6.09</v>
      </c>
      <c r="J203" s="790">
        <f>I203*I260</f>
        <v>506688</v>
      </c>
      <c r="K203" s="797"/>
      <c r="L203" s="790"/>
      <c r="M203" s="790">
        <f>SUM(J203:L203)</f>
        <v>506688</v>
      </c>
      <c r="N203" s="790">
        <v>1</v>
      </c>
      <c r="O203" s="791" t="s">
        <v>1292</v>
      </c>
      <c r="P203" s="795">
        <v>5.89</v>
      </c>
      <c r="Q203" s="790">
        <f>P203*83200</f>
        <v>490048</v>
      </c>
      <c r="R203" s="797"/>
      <c r="S203" s="790"/>
      <c r="T203" s="790">
        <f>SUM(Q203:S203)</f>
        <v>490048</v>
      </c>
      <c r="U203" s="718">
        <f>+G203-N203</f>
        <v>0</v>
      </c>
      <c r="V203" s="719">
        <f aca="true" t="shared" si="71" ref="V203:Y207">J203-Q203</f>
        <v>16640</v>
      </c>
      <c r="W203" s="718">
        <f t="shared" si="71"/>
        <v>0</v>
      </c>
      <c r="X203" s="719">
        <f t="shared" si="71"/>
        <v>0</v>
      </c>
      <c r="Y203" s="719">
        <f t="shared" si="71"/>
        <v>16640</v>
      </c>
      <c r="Z203" s="790">
        <v>1</v>
      </c>
      <c r="AA203" s="791" t="s">
        <v>1407</v>
      </c>
      <c r="AB203" s="795">
        <v>6.09</v>
      </c>
      <c r="AC203" s="790">
        <f>AB203*I260</f>
        <v>506688</v>
      </c>
      <c r="AD203" s="797"/>
      <c r="AE203" s="790"/>
      <c r="AF203" s="790">
        <f>SUM(AC203:AE203)</f>
        <v>506688</v>
      </c>
      <c r="AG203" s="790">
        <v>1</v>
      </c>
      <c r="AH203" s="791" t="s">
        <v>1408</v>
      </c>
      <c r="AI203" s="795">
        <v>6.09</v>
      </c>
      <c r="AJ203" s="790">
        <f>AI203*I260</f>
        <v>506688</v>
      </c>
      <c r="AK203" s="797"/>
      <c r="AL203" s="790"/>
      <c r="AM203" s="790">
        <f>SUM(AJ203:AL203)</f>
        <v>506688</v>
      </c>
    </row>
    <row r="204" spans="1:39" ht="18" customHeight="1">
      <c r="A204" s="826">
        <v>130</v>
      </c>
      <c r="B204" s="720" t="s">
        <v>773</v>
      </c>
      <c r="C204" s="790" t="s">
        <v>703</v>
      </c>
      <c r="D204" s="719">
        <v>1980</v>
      </c>
      <c r="E204" s="799" t="s">
        <v>788</v>
      </c>
      <c r="F204" s="827" t="s">
        <v>1409</v>
      </c>
      <c r="G204" s="719">
        <v>1</v>
      </c>
      <c r="H204" s="791" t="s">
        <v>1324</v>
      </c>
      <c r="I204" s="795">
        <v>4.7</v>
      </c>
      <c r="J204" s="790">
        <f>I204*I260</f>
        <v>391040</v>
      </c>
      <c r="K204" s="797"/>
      <c r="L204" s="790"/>
      <c r="M204" s="790">
        <f>SUM(J204:L204)</f>
        <v>391040</v>
      </c>
      <c r="N204" s="790">
        <v>1</v>
      </c>
      <c r="O204" s="791" t="s">
        <v>1325</v>
      </c>
      <c r="P204" s="795">
        <v>4.7</v>
      </c>
      <c r="Q204" s="790">
        <f>P204*83200</f>
        <v>391040</v>
      </c>
      <c r="R204" s="797"/>
      <c r="S204" s="790"/>
      <c r="T204" s="790">
        <f>SUM(Q204:S204)</f>
        <v>391040</v>
      </c>
      <c r="U204" s="718">
        <f>+G204-N204</f>
        <v>0</v>
      </c>
      <c r="V204" s="719">
        <f t="shared" si="71"/>
        <v>0</v>
      </c>
      <c r="W204" s="718">
        <f t="shared" si="71"/>
        <v>0</v>
      </c>
      <c r="X204" s="719">
        <f t="shared" si="71"/>
        <v>0</v>
      </c>
      <c r="Y204" s="719">
        <f t="shared" si="71"/>
        <v>0</v>
      </c>
      <c r="Z204" s="790">
        <v>1</v>
      </c>
      <c r="AA204" s="791" t="s">
        <v>1326</v>
      </c>
      <c r="AB204" s="795">
        <v>4.85</v>
      </c>
      <c r="AC204" s="790">
        <f>AB204*I260</f>
        <v>403519.99999999994</v>
      </c>
      <c r="AD204" s="790"/>
      <c r="AE204" s="790"/>
      <c r="AF204" s="790">
        <f>SUM(AC204:AE204)</f>
        <v>403519.99999999994</v>
      </c>
      <c r="AG204" s="790">
        <v>1</v>
      </c>
      <c r="AH204" s="791" t="s">
        <v>1327</v>
      </c>
      <c r="AI204" s="795">
        <v>4.85</v>
      </c>
      <c r="AJ204" s="790">
        <f>AI204*I260</f>
        <v>403519.99999999994</v>
      </c>
      <c r="AK204" s="797"/>
      <c r="AL204" s="790"/>
      <c r="AM204" s="790">
        <f>SUM(AJ204:AL204)</f>
        <v>403519.99999999994</v>
      </c>
    </row>
    <row r="205" spans="1:39" ht="18" customHeight="1">
      <c r="A205" s="826">
        <v>131</v>
      </c>
      <c r="B205" s="720" t="s">
        <v>1410</v>
      </c>
      <c r="C205" s="790" t="s">
        <v>703</v>
      </c>
      <c r="D205" s="719">
        <v>1965</v>
      </c>
      <c r="E205" s="718" t="s">
        <v>790</v>
      </c>
      <c r="F205" s="827" t="s">
        <v>1411</v>
      </c>
      <c r="G205" s="719">
        <v>1</v>
      </c>
      <c r="H205" s="791" t="s">
        <v>1315</v>
      </c>
      <c r="I205" s="795">
        <v>3.64</v>
      </c>
      <c r="J205" s="790">
        <f>I205*I260</f>
        <v>302848</v>
      </c>
      <c r="K205" s="797"/>
      <c r="L205" s="790"/>
      <c r="M205" s="790">
        <f>SUM(J205:L205)</f>
        <v>302848</v>
      </c>
      <c r="N205" s="790">
        <v>1</v>
      </c>
      <c r="O205" s="791" t="s">
        <v>1350</v>
      </c>
      <c r="P205" s="795">
        <v>3.53</v>
      </c>
      <c r="Q205" s="790">
        <f>P205*83200</f>
        <v>293696</v>
      </c>
      <c r="R205" s="797"/>
      <c r="S205" s="790"/>
      <c r="T205" s="790">
        <f>SUM(Q205:S205)</f>
        <v>293696</v>
      </c>
      <c r="U205" s="718">
        <f>+G205-N205</f>
        <v>0</v>
      </c>
      <c r="V205" s="719">
        <f t="shared" si="71"/>
        <v>9152</v>
      </c>
      <c r="W205" s="718">
        <f t="shared" si="71"/>
        <v>0</v>
      </c>
      <c r="X205" s="719">
        <f t="shared" si="71"/>
        <v>0</v>
      </c>
      <c r="Y205" s="719">
        <f t="shared" si="71"/>
        <v>9152</v>
      </c>
      <c r="Z205" s="790">
        <v>1</v>
      </c>
      <c r="AA205" s="791" t="s">
        <v>1314</v>
      </c>
      <c r="AB205" s="795">
        <v>3.64</v>
      </c>
      <c r="AC205" s="790">
        <f>AB205*I260</f>
        <v>302848</v>
      </c>
      <c r="AD205" s="790"/>
      <c r="AE205" s="790"/>
      <c r="AF205" s="790">
        <f>SUM(AC205:AE205)</f>
        <v>302848</v>
      </c>
      <c r="AG205" s="790">
        <v>1</v>
      </c>
      <c r="AH205" s="791" t="s">
        <v>1156</v>
      </c>
      <c r="AI205" s="795">
        <v>3.76</v>
      </c>
      <c r="AJ205" s="790">
        <f>AI205*I260</f>
        <v>312832</v>
      </c>
      <c r="AK205" s="797"/>
      <c r="AL205" s="790"/>
      <c r="AM205" s="790">
        <f>SUM(AJ205:AL205)</f>
        <v>312832</v>
      </c>
    </row>
    <row r="206" spans="1:39" ht="18" customHeight="1">
      <c r="A206" s="826">
        <v>132</v>
      </c>
      <c r="B206" s="720" t="s">
        <v>774</v>
      </c>
      <c r="C206" s="790" t="s">
        <v>703</v>
      </c>
      <c r="D206" s="719">
        <v>1983</v>
      </c>
      <c r="E206" s="718" t="s">
        <v>790</v>
      </c>
      <c r="F206" s="827" t="s">
        <v>1412</v>
      </c>
      <c r="G206" s="719">
        <v>1</v>
      </c>
      <c r="H206" s="791" t="s">
        <v>1413</v>
      </c>
      <c r="I206" s="795">
        <v>3.76</v>
      </c>
      <c r="J206" s="790">
        <f>I206*I260</f>
        <v>312832</v>
      </c>
      <c r="K206" s="797"/>
      <c r="L206" s="790"/>
      <c r="M206" s="790">
        <f>SUM(J206:L206)</f>
        <v>312832</v>
      </c>
      <c r="N206" s="790">
        <v>1</v>
      </c>
      <c r="O206" s="791" t="s">
        <v>1414</v>
      </c>
      <c r="P206" s="795">
        <v>3.64</v>
      </c>
      <c r="Q206" s="790">
        <f>P206*83200</f>
        <v>302848</v>
      </c>
      <c r="R206" s="797"/>
      <c r="S206" s="790"/>
      <c r="T206" s="790">
        <f>SUM(Q206:S206)</f>
        <v>302848</v>
      </c>
      <c r="U206" s="718">
        <f>+G206-N206</f>
        <v>0</v>
      </c>
      <c r="V206" s="719">
        <f t="shared" si="71"/>
        <v>9984</v>
      </c>
      <c r="W206" s="718">
        <f t="shared" si="71"/>
        <v>0</v>
      </c>
      <c r="X206" s="719">
        <f t="shared" si="71"/>
        <v>0</v>
      </c>
      <c r="Y206" s="719">
        <f t="shared" si="71"/>
        <v>9984</v>
      </c>
      <c r="Z206" s="790">
        <v>1</v>
      </c>
      <c r="AA206" s="791" t="s">
        <v>1415</v>
      </c>
      <c r="AB206" s="795">
        <v>3.76</v>
      </c>
      <c r="AC206" s="790">
        <f>AB206*I260</f>
        <v>312832</v>
      </c>
      <c r="AD206" s="790"/>
      <c r="AE206" s="790"/>
      <c r="AF206" s="790">
        <f>SUM(AC206:AE206)</f>
        <v>312832</v>
      </c>
      <c r="AG206" s="790">
        <v>1</v>
      </c>
      <c r="AH206" s="791" t="s">
        <v>1325</v>
      </c>
      <c r="AI206" s="795">
        <v>3.88</v>
      </c>
      <c r="AJ206" s="790">
        <f>AI206*I260</f>
        <v>322816</v>
      </c>
      <c r="AK206" s="797"/>
      <c r="AL206" s="790"/>
      <c r="AM206" s="790">
        <f>SUM(AJ206:AL206)</f>
        <v>322816</v>
      </c>
    </row>
    <row r="207" spans="1:39" ht="18" customHeight="1">
      <c r="A207" s="826">
        <v>133</v>
      </c>
      <c r="B207" s="720"/>
      <c r="C207" s="790"/>
      <c r="D207" s="719"/>
      <c r="E207" s="718" t="s">
        <v>790</v>
      </c>
      <c r="F207" s="827" t="s">
        <v>1416</v>
      </c>
      <c r="G207" s="719">
        <v>1</v>
      </c>
      <c r="H207" s="791">
        <v>1</v>
      </c>
      <c r="I207" s="795">
        <v>3.76</v>
      </c>
      <c r="J207" s="790">
        <f>I207*I260</f>
        <v>312832</v>
      </c>
      <c r="K207" s="797"/>
      <c r="L207" s="790"/>
      <c r="M207" s="790">
        <f>SUM(J207:L207)</f>
        <v>312832</v>
      </c>
      <c r="N207" s="790">
        <v>1</v>
      </c>
      <c r="O207" s="791">
        <v>0</v>
      </c>
      <c r="P207" s="795">
        <v>3.76</v>
      </c>
      <c r="Q207" s="790">
        <f>P207*83200</f>
        <v>312832</v>
      </c>
      <c r="R207" s="797"/>
      <c r="S207" s="790"/>
      <c r="T207" s="790">
        <f>SUM(Q207:S207)</f>
        <v>312832</v>
      </c>
      <c r="U207" s="718">
        <f>+G207-N207</f>
        <v>0</v>
      </c>
      <c r="V207" s="719">
        <f t="shared" si="71"/>
        <v>0</v>
      </c>
      <c r="W207" s="718">
        <f t="shared" si="71"/>
        <v>0</v>
      </c>
      <c r="X207" s="719">
        <f t="shared" si="71"/>
        <v>0</v>
      </c>
      <c r="Y207" s="719">
        <f t="shared" si="71"/>
        <v>0</v>
      </c>
      <c r="Z207" s="790">
        <v>1</v>
      </c>
      <c r="AA207" s="791">
        <v>2</v>
      </c>
      <c r="AB207" s="795">
        <v>3.76</v>
      </c>
      <c r="AC207" s="790">
        <f>AB207*I260</f>
        <v>312832</v>
      </c>
      <c r="AD207" s="790"/>
      <c r="AE207" s="790"/>
      <c r="AF207" s="790">
        <f>SUM(AC207:AE207)</f>
        <v>312832</v>
      </c>
      <c r="AG207" s="790">
        <v>1</v>
      </c>
      <c r="AH207" s="791">
        <v>3</v>
      </c>
      <c r="AI207" s="795">
        <v>3.76</v>
      </c>
      <c r="AJ207" s="790">
        <f>AI207*I260</f>
        <v>312832</v>
      </c>
      <c r="AK207" s="797"/>
      <c r="AL207" s="790"/>
      <c r="AM207" s="790">
        <f>SUM(AJ207:AL207)</f>
        <v>312832</v>
      </c>
    </row>
    <row r="208" spans="1:39" ht="18" customHeight="1">
      <c r="A208" s="826"/>
      <c r="B208" s="720"/>
      <c r="C208" s="790"/>
      <c r="D208" s="719"/>
      <c r="E208" s="718"/>
      <c r="F208" s="718"/>
      <c r="G208" s="719"/>
      <c r="H208" s="791"/>
      <c r="I208" s="795"/>
      <c r="J208" s="790"/>
      <c r="K208" s="797"/>
      <c r="L208" s="790"/>
      <c r="M208" s="790"/>
      <c r="N208" s="790"/>
      <c r="O208" s="791"/>
      <c r="P208" s="795"/>
      <c r="Q208" s="790"/>
      <c r="R208" s="797"/>
      <c r="S208" s="790"/>
      <c r="T208" s="790"/>
      <c r="U208" s="797"/>
      <c r="V208" s="798"/>
      <c r="W208" s="797"/>
      <c r="X208" s="798"/>
      <c r="Y208" s="798"/>
      <c r="Z208" s="790"/>
      <c r="AA208" s="791"/>
      <c r="AB208" s="718"/>
      <c r="AC208" s="790"/>
      <c r="AD208" s="790"/>
      <c r="AE208" s="790"/>
      <c r="AF208" s="790"/>
      <c r="AG208" s="790"/>
      <c r="AH208" s="791"/>
      <c r="AI208" s="718"/>
      <c r="AJ208" s="797"/>
      <c r="AK208" s="797"/>
      <c r="AL208" s="797"/>
      <c r="AM208" s="797"/>
    </row>
    <row r="209" spans="1:39" s="740" customFormat="1" ht="18" customHeight="1">
      <c r="A209" s="818"/>
      <c r="B209" s="811" t="s">
        <v>132</v>
      </c>
      <c r="C209" s="792"/>
      <c r="D209" s="814"/>
      <c r="E209" s="718"/>
      <c r="F209" s="815"/>
      <c r="G209" s="814">
        <f>SUM(G203:G207)</f>
        <v>5</v>
      </c>
      <c r="H209" s="816" t="s">
        <v>1</v>
      </c>
      <c r="I209" s="814" t="s">
        <v>1</v>
      </c>
      <c r="J209" s="814">
        <f>SUM(J203:J207)</f>
        <v>1826240</v>
      </c>
      <c r="K209" s="814">
        <f>SUM(K203:K207)</f>
        <v>0</v>
      </c>
      <c r="L209" s="814">
        <f>SUM(L203:L207)</f>
        <v>0</v>
      </c>
      <c r="M209" s="814">
        <f>SUM(M203:M207)</f>
        <v>1826240</v>
      </c>
      <c r="N209" s="814">
        <f>SUM(N203:N207)</f>
        <v>5</v>
      </c>
      <c r="O209" s="816" t="s">
        <v>1</v>
      </c>
      <c r="P209" s="814" t="s">
        <v>1</v>
      </c>
      <c r="Q209" s="814">
        <f aca="true" t="shared" si="72" ref="Q209:Z209">SUM(Q203:Q207)</f>
        <v>1790464</v>
      </c>
      <c r="R209" s="814">
        <f t="shared" si="72"/>
        <v>0</v>
      </c>
      <c r="S209" s="814">
        <f t="shared" si="72"/>
        <v>0</v>
      </c>
      <c r="T209" s="814">
        <f t="shared" si="72"/>
        <v>1790464</v>
      </c>
      <c r="U209" s="814">
        <f t="shared" si="72"/>
        <v>0</v>
      </c>
      <c r="V209" s="814">
        <f t="shared" si="72"/>
        <v>35776</v>
      </c>
      <c r="W209" s="814">
        <f t="shared" si="72"/>
        <v>0</v>
      </c>
      <c r="X209" s="814">
        <f t="shared" si="72"/>
        <v>0</v>
      </c>
      <c r="Y209" s="814">
        <f t="shared" si="72"/>
        <v>35776</v>
      </c>
      <c r="Z209" s="814">
        <f t="shared" si="72"/>
        <v>5</v>
      </c>
      <c r="AA209" s="816" t="s">
        <v>1</v>
      </c>
      <c r="AB209" s="814" t="s">
        <v>1</v>
      </c>
      <c r="AC209" s="814">
        <f>SUM(AC203:AC207)</f>
        <v>1838720</v>
      </c>
      <c r="AD209" s="814">
        <f>SUM(AD203:AD207)</f>
        <v>0</v>
      </c>
      <c r="AE209" s="814">
        <f>SUM(AE203:AE207)</f>
        <v>0</v>
      </c>
      <c r="AF209" s="814">
        <f>SUM(AF203:AF207)</f>
        <v>1838720</v>
      </c>
      <c r="AG209" s="814">
        <f>SUM(AG203:AG207)</f>
        <v>5</v>
      </c>
      <c r="AH209" s="816" t="s">
        <v>1</v>
      </c>
      <c r="AI209" s="814" t="s">
        <v>1</v>
      </c>
      <c r="AJ209" s="814">
        <f>SUM(AJ203:AJ207)</f>
        <v>1858688</v>
      </c>
      <c r="AK209" s="814">
        <f>SUM(AK203:AK207)</f>
        <v>0</v>
      </c>
      <c r="AL209" s="814">
        <f>SUM(AL203:AL207)</f>
        <v>0</v>
      </c>
      <c r="AM209" s="814">
        <f>SUM(AM203:AM207)</f>
        <v>1858688</v>
      </c>
    </row>
    <row r="210" spans="1:39" s="740" customFormat="1" ht="18" customHeight="1">
      <c r="A210" s="818"/>
      <c r="B210" s="811"/>
      <c r="C210" s="792"/>
      <c r="D210" s="814"/>
      <c r="E210" s="718"/>
      <c r="F210" s="815"/>
      <c r="G210" s="814"/>
      <c r="H210" s="839"/>
      <c r="I210" s="776"/>
      <c r="J210" s="776"/>
      <c r="K210" s="776"/>
      <c r="L210" s="776"/>
      <c r="M210" s="776"/>
      <c r="N210" s="862"/>
      <c r="O210" s="816"/>
      <c r="P210" s="814"/>
      <c r="Q210" s="814"/>
      <c r="R210" s="814"/>
      <c r="S210" s="814"/>
      <c r="T210" s="814"/>
      <c r="U210" s="814"/>
      <c r="V210" s="814"/>
      <c r="W210" s="814"/>
      <c r="X210" s="814"/>
      <c r="Y210" s="814"/>
      <c r="Z210" s="814"/>
      <c r="AA210" s="816"/>
      <c r="AB210" s="814"/>
      <c r="AC210" s="814"/>
      <c r="AD210" s="814"/>
      <c r="AE210" s="814"/>
      <c r="AF210" s="814"/>
      <c r="AG210" s="814"/>
      <c r="AH210" s="816"/>
      <c r="AI210" s="814"/>
      <c r="AJ210" s="814"/>
      <c r="AK210" s="814"/>
      <c r="AL210" s="840"/>
      <c r="AM210" s="840"/>
    </row>
    <row r="211" spans="1:37" s="825" customFormat="1" ht="18" customHeight="1">
      <c r="A211" s="818"/>
      <c r="B211" s="717" t="s">
        <v>131</v>
      </c>
      <c r="C211" s="792"/>
      <c r="D211" s="819"/>
      <c r="E211" s="720"/>
      <c r="F211" s="820"/>
      <c r="G211" s="1135" t="s">
        <v>775</v>
      </c>
      <c r="H211" s="1136"/>
      <c r="I211" s="1136"/>
      <c r="J211" s="1136"/>
      <c r="K211" s="1136"/>
      <c r="L211" s="1136"/>
      <c r="M211" s="1136"/>
      <c r="N211" s="1137"/>
      <c r="O211" s="821"/>
      <c r="P211" s="822"/>
      <c r="Q211" s="818"/>
      <c r="R211" s="717"/>
      <c r="S211" s="818"/>
      <c r="T211" s="818"/>
      <c r="U211" s="717"/>
      <c r="V211" s="823"/>
      <c r="W211" s="717"/>
      <c r="X211" s="823"/>
      <c r="Y211" s="819"/>
      <c r="Z211" s="820"/>
      <c r="AA211" s="821"/>
      <c r="AB211" s="818"/>
      <c r="AC211" s="818"/>
      <c r="AD211" s="818"/>
      <c r="AE211" s="818"/>
      <c r="AF211" s="820"/>
      <c r="AG211" s="820"/>
      <c r="AH211" s="824"/>
      <c r="AI211" s="717"/>
      <c r="AJ211" s="717"/>
      <c r="AK211" s="717"/>
    </row>
    <row r="212" spans="1:39" ht="18" customHeight="1">
      <c r="A212" s="826"/>
      <c r="B212" s="720"/>
      <c r="C212" s="790"/>
      <c r="D212" s="719"/>
      <c r="E212" s="718"/>
      <c r="F212" s="718"/>
      <c r="G212" s="719"/>
      <c r="H212" s="791"/>
      <c r="I212" s="795"/>
      <c r="J212" s="790"/>
      <c r="K212" s="797"/>
      <c r="L212" s="790"/>
      <c r="M212" s="790"/>
      <c r="N212" s="790"/>
      <c r="O212" s="791"/>
      <c r="P212" s="795"/>
      <c r="Q212" s="790"/>
      <c r="R212" s="797"/>
      <c r="S212" s="790"/>
      <c r="T212" s="790"/>
      <c r="U212" s="797"/>
      <c r="V212" s="798"/>
      <c r="W212" s="797"/>
      <c r="X212" s="798"/>
      <c r="Y212" s="798"/>
      <c r="Z212" s="790"/>
      <c r="AA212" s="791"/>
      <c r="AB212" s="718"/>
      <c r="AC212" s="790"/>
      <c r="AD212" s="790"/>
      <c r="AE212" s="790"/>
      <c r="AF212" s="790"/>
      <c r="AG212" s="790"/>
      <c r="AH212" s="791"/>
      <c r="AI212" s="718"/>
      <c r="AJ212" s="797"/>
      <c r="AK212" s="797"/>
      <c r="AL212" s="797"/>
      <c r="AM212" s="797"/>
    </row>
    <row r="213" spans="1:39" ht="18" customHeight="1">
      <c r="A213" s="826">
        <v>134</v>
      </c>
      <c r="B213" s="720"/>
      <c r="C213" s="790"/>
      <c r="D213" s="719"/>
      <c r="E213" s="718" t="s">
        <v>776</v>
      </c>
      <c r="F213" s="852" t="s">
        <v>1417</v>
      </c>
      <c r="G213" s="719">
        <v>1</v>
      </c>
      <c r="H213" s="791">
        <v>1</v>
      </c>
      <c r="I213" s="795">
        <v>4.55</v>
      </c>
      <c r="J213" s="790">
        <f>I213*I260</f>
        <v>378560</v>
      </c>
      <c r="K213" s="797"/>
      <c r="L213" s="790"/>
      <c r="M213" s="790">
        <f>SUM(J213:L213)</f>
        <v>378560</v>
      </c>
      <c r="N213" s="719">
        <v>1</v>
      </c>
      <c r="O213" s="791">
        <v>0</v>
      </c>
      <c r="P213" s="795">
        <v>4.55</v>
      </c>
      <c r="Q213" s="790">
        <f>P213*83200</f>
        <v>378560</v>
      </c>
      <c r="R213" s="797"/>
      <c r="S213" s="790"/>
      <c r="T213" s="790">
        <f>SUM(Q213:S213)</f>
        <v>378560</v>
      </c>
      <c r="U213" s="718">
        <f>+G213-N213</f>
        <v>0</v>
      </c>
      <c r="V213" s="719">
        <f aca="true" t="shared" si="73" ref="V213:Y215">J213-Q213</f>
        <v>0</v>
      </c>
      <c r="W213" s="718">
        <f t="shared" si="73"/>
        <v>0</v>
      </c>
      <c r="X213" s="719">
        <f t="shared" si="73"/>
        <v>0</v>
      </c>
      <c r="Y213" s="719">
        <f t="shared" si="73"/>
        <v>0</v>
      </c>
      <c r="Z213" s="719">
        <v>1</v>
      </c>
      <c r="AA213" s="791">
        <v>2</v>
      </c>
      <c r="AB213" s="795">
        <v>4.55</v>
      </c>
      <c r="AC213" s="790">
        <f>AB213*I260</f>
        <v>378560</v>
      </c>
      <c r="AD213" s="797"/>
      <c r="AE213" s="790"/>
      <c r="AF213" s="790">
        <f>SUM(AC213:AE213)</f>
        <v>378560</v>
      </c>
      <c r="AG213" s="719">
        <v>1</v>
      </c>
      <c r="AH213" s="791">
        <v>3</v>
      </c>
      <c r="AI213" s="795">
        <v>4.55</v>
      </c>
      <c r="AJ213" s="790">
        <f>AI213*I260</f>
        <v>378560</v>
      </c>
      <c r="AK213" s="797"/>
      <c r="AL213" s="790"/>
      <c r="AM213" s="790">
        <f>SUM(AJ213:AL213)</f>
        <v>378560</v>
      </c>
    </row>
    <row r="214" spans="1:39" ht="18" customHeight="1">
      <c r="A214" s="826">
        <v>135</v>
      </c>
      <c r="B214" s="720" t="s">
        <v>777</v>
      </c>
      <c r="C214" s="790" t="s">
        <v>697</v>
      </c>
      <c r="D214" s="719">
        <v>1980</v>
      </c>
      <c r="E214" s="718" t="s">
        <v>794</v>
      </c>
      <c r="F214" s="827" t="s">
        <v>1418</v>
      </c>
      <c r="G214" s="719">
        <v>1</v>
      </c>
      <c r="H214" s="791" t="s">
        <v>1345</v>
      </c>
      <c r="I214" s="795">
        <v>3.53</v>
      </c>
      <c r="J214" s="790">
        <f>I214*I260</f>
        <v>293696</v>
      </c>
      <c r="K214" s="797"/>
      <c r="L214" s="790"/>
      <c r="M214" s="790">
        <f>SUM(J214:L214)</f>
        <v>293696</v>
      </c>
      <c r="N214" s="719">
        <v>1</v>
      </c>
      <c r="O214" s="791" t="s">
        <v>1344</v>
      </c>
      <c r="P214" s="795">
        <v>3.42</v>
      </c>
      <c r="Q214" s="790">
        <f>P214*83200</f>
        <v>284544</v>
      </c>
      <c r="R214" s="797"/>
      <c r="S214" s="790"/>
      <c r="T214" s="790">
        <f>SUM(Q214:S214)</f>
        <v>284544</v>
      </c>
      <c r="U214" s="718">
        <f>+G214-N214</f>
        <v>0</v>
      </c>
      <c r="V214" s="719">
        <f t="shared" si="73"/>
        <v>9152</v>
      </c>
      <c r="W214" s="718">
        <f t="shared" si="73"/>
        <v>0</v>
      </c>
      <c r="X214" s="719">
        <f t="shared" si="73"/>
        <v>0</v>
      </c>
      <c r="Y214" s="719">
        <f t="shared" si="73"/>
        <v>9152</v>
      </c>
      <c r="Z214" s="719">
        <v>1</v>
      </c>
      <c r="AA214" s="791" t="s">
        <v>1419</v>
      </c>
      <c r="AB214" s="795">
        <v>3.64</v>
      </c>
      <c r="AC214" s="790">
        <f>AB214*I260</f>
        <v>302848</v>
      </c>
      <c r="AD214" s="797"/>
      <c r="AE214" s="790"/>
      <c r="AF214" s="790">
        <f>SUM(AC214:AE214)</f>
        <v>302848</v>
      </c>
      <c r="AG214" s="719">
        <v>1</v>
      </c>
      <c r="AH214" s="791" t="s">
        <v>1414</v>
      </c>
      <c r="AI214" s="795">
        <v>3.64</v>
      </c>
      <c r="AJ214" s="790">
        <f>AI214*I260</f>
        <v>302848</v>
      </c>
      <c r="AK214" s="797"/>
      <c r="AL214" s="790"/>
      <c r="AM214" s="790">
        <f>SUM(AJ214:AL214)</f>
        <v>302848</v>
      </c>
    </row>
    <row r="215" spans="1:39" ht="18" customHeight="1">
      <c r="A215" s="826">
        <v>136</v>
      </c>
      <c r="B215" s="720"/>
      <c r="C215" s="790"/>
      <c r="D215" s="719"/>
      <c r="E215" s="718" t="s">
        <v>790</v>
      </c>
      <c r="F215" s="827" t="s">
        <v>1420</v>
      </c>
      <c r="G215" s="719">
        <v>1</v>
      </c>
      <c r="H215" s="791">
        <v>1</v>
      </c>
      <c r="I215" s="795">
        <v>3.76</v>
      </c>
      <c r="J215" s="790">
        <f>I215*I260</f>
        <v>312832</v>
      </c>
      <c r="K215" s="797"/>
      <c r="L215" s="790"/>
      <c r="M215" s="790">
        <f>SUM(J215:L215)</f>
        <v>312832</v>
      </c>
      <c r="N215" s="790">
        <v>1</v>
      </c>
      <c r="O215" s="791">
        <v>0</v>
      </c>
      <c r="P215" s="795">
        <v>3.76</v>
      </c>
      <c r="Q215" s="790">
        <f>P215*83200</f>
        <v>312832</v>
      </c>
      <c r="R215" s="797"/>
      <c r="S215" s="790"/>
      <c r="T215" s="790">
        <f>SUM(Q215:S215)</f>
        <v>312832</v>
      </c>
      <c r="U215" s="718">
        <f>+G215-N215</f>
        <v>0</v>
      </c>
      <c r="V215" s="719">
        <f t="shared" si="73"/>
        <v>0</v>
      </c>
      <c r="W215" s="718">
        <f t="shared" si="73"/>
        <v>0</v>
      </c>
      <c r="X215" s="719">
        <f t="shared" si="73"/>
        <v>0</v>
      </c>
      <c r="Y215" s="719">
        <f t="shared" si="73"/>
        <v>0</v>
      </c>
      <c r="Z215" s="790">
        <v>1</v>
      </c>
      <c r="AA215" s="791">
        <v>2</v>
      </c>
      <c r="AB215" s="795">
        <v>3.76</v>
      </c>
      <c r="AC215" s="790">
        <f>AB215*I260</f>
        <v>312832</v>
      </c>
      <c r="AD215" s="790"/>
      <c r="AE215" s="790"/>
      <c r="AF215" s="790">
        <f>SUM(AC215:AE215)</f>
        <v>312832</v>
      </c>
      <c r="AG215" s="790">
        <v>1</v>
      </c>
      <c r="AH215" s="791">
        <v>3</v>
      </c>
      <c r="AI215" s="795">
        <v>3.76</v>
      </c>
      <c r="AJ215" s="790">
        <f>AI215*I260</f>
        <v>312832</v>
      </c>
      <c r="AK215" s="797"/>
      <c r="AL215" s="790"/>
      <c r="AM215" s="790">
        <f>SUM(AJ215:AL215)</f>
        <v>312832</v>
      </c>
    </row>
    <row r="216" spans="1:39" ht="18" customHeight="1">
      <c r="A216" s="826"/>
      <c r="B216" s="720"/>
      <c r="C216" s="797"/>
      <c r="D216" s="719"/>
      <c r="E216" s="718"/>
      <c r="F216" s="718"/>
      <c r="G216" s="719"/>
      <c r="H216" s="791"/>
      <c r="I216" s="795"/>
      <c r="J216" s="790"/>
      <c r="K216" s="797"/>
      <c r="L216" s="790"/>
      <c r="M216" s="790"/>
      <c r="N216" s="790"/>
      <c r="O216" s="791"/>
      <c r="P216" s="795"/>
      <c r="Q216" s="790"/>
      <c r="R216" s="797"/>
      <c r="S216" s="790"/>
      <c r="T216" s="790"/>
      <c r="U216" s="797"/>
      <c r="V216" s="798"/>
      <c r="W216" s="797"/>
      <c r="X216" s="798"/>
      <c r="Y216" s="798"/>
      <c r="Z216" s="790"/>
      <c r="AA216" s="791"/>
      <c r="AB216" s="718"/>
      <c r="AC216" s="790"/>
      <c r="AD216" s="790"/>
      <c r="AE216" s="790"/>
      <c r="AF216" s="790"/>
      <c r="AG216" s="790"/>
      <c r="AH216" s="791"/>
      <c r="AI216" s="718"/>
      <c r="AJ216" s="797"/>
      <c r="AK216" s="797"/>
      <c r="AL216" s="797"/>
      <c r="AM216" s="797"/>
    </row>
    <row r="217" spans="1:39" s="740" customFormat="1" ht="18" customHeight="1">
      <c r="A217" s="818"/>
      <c r="B217" s="811" t="s">
        <v>132</v>
      </c>
      <c r="C217" s="813"/>
      <c r="D217" s="814"/>
      <c r="E217" s="815"/>
      <c r="F217" s="815"/>
      <c r="G217" s="814">
        <f>SUM(G213:G216)</f>
        <v>3</v>
      </c>
      <c r="H217" s="816" t="s">
        <v>1</v>
      </c>
      <c r="I217" s="814" t="s">
        <v>1</v>
      </c>
      <c r="J217" s="814">
        <f aca="true" t="shared" si="74" ref="J217:AM217">SUM(J213:J216)</f>
        <v>985088</v>
      </c>
      <c r="K217" s="814">
        <f t="shared" si="74"/>
        <v>0</v>
      </c>
      <c r="L217" s="814">
        <f t="shared" si="74"/>
        <v>0</v>
      </c>
      <c r="M217" s="814">
        <f t="shared" si="74"/>
        <v>985088</v>
      </c>
      <c r="N217" s="814">
        <f t="shared" si="74"/>
        <v>3</v>
      </c>
      <c r="O217" s="816" t="s">
        <v>1</v>
      </c>
      <c r="P217" s="814" t="s">
        <v>1</v>
      </c>
      <c r="Q217" s="814">
        <f t="shared" si="74"/>
        <v>975936</v>
      </c>
      <c r="R217" s="814">
        <f t="shared" si="74"/>
        <v>0</v>
      </c>
      <c r="S217" s="814">
        <f t="shared" si="74"/>
        <v>0</v>
      </c>
      <c r="T217" s="814">
        <f t="shared" si="74"/>
        <v>975936</v>
      </c>
      <c r="U217" s="814">
        <f t="shared" si="74"/>
        <v>0</v>
      </c>
      <c r="V217" s="814">
        <f t="shared" si="74"/>
        <v>9152</v>
      </c>
      <c r="W217" s="814">
        <f t="shared" si="74"/>
        <v>0</v>
      </c>
      <c r="X217" s="814">
        <f t="shared" si="74"/>
        <v>0</v>
      </c>
      <c r="Y217" s="814">
        <f t="shared" si="74"/>
        <v>9152</v>
      </c>
      <c r="Z217" s="814">
        <f t="shared" si="74"/>
        <v>3</v>
      </c>
      <c r="AA217" s="816" t="s">
        <v>1</v>
      </c>
      <c r="AB217" s="814" t="s">
        <v>1</v>
      </c>
      <c r="AC217" s="814">
        <f t="shared" si="74"/>
        <v>994240</v>
      </c>
      <c r="AD217" s="814">
        <f t="shared" si="74"/>
        <v>0</v>
      </c>
      <c r="AE217" s="814">
        <f t="shared" si="74"/>
        <v>0</v>
      </c>
      <c r="AF217" s="814">
        <f t="shared" si="74"/>
        <v>994240</v>
      </c>
      <c r="AG217" s="814">
        <f t="shared" si="74"/>
        <v>3</v>
      </c>
      <c r="AH217" s="816" t="s">
        <v>1</v>
      </c>
      <c r="AI217" s="814" t="s">
        <v>1</v>
      </c>
      <c r="AJ217" s="814">
        <f t="shared" si="74"/>
        <v>994240</v>
      </c>
      <c r="AK217" s="814">
        <f t="shared" si="74"/>
        <v>0</v>
      </c>
      <c r="AL217" s="814">
        <f t="shared" si="74"/>
        <v>0</v>
      </c>
      <c r="AM217" s="814">
        <f t="shared" si="74"/>
        <v>994240</v>
      </c>
    </row>
    <row r="218" spans="1:39" s="740" customFormat="1" ht="18" customHeight="1">
      <c r="A218" s="818"/>
      <c r="B218" s="811"/>
      <c r="C218" s="813"/>
      <c r="D218" s="814"/>
      <c r="E218" s="815"/>
      <c r="F218" s="815"/>
      <c r="G218" s="814"/>
      <c r="H218" s="839"/>
      <c r="I218" s="776"/>
      <c r="J218" s="776"/>
      <c r="K218" s="776"/>
      <c r="L218" s="776"/>
      <c r="M218" s="776"/>
      <c r="N218" s="862"/>
      <c r="O218" s="816"/>
      <c r="P218" s="814"/>
      <c r="Q218" s="814"/>
      <c r="R218" s="814"/>
      <c r="S218" s="814"/>
      <c r="T218" s="814"/>
      <c r="U218" s="814"/>
      <c r="V218" s="814"/>
      <c r="W218" s="814"/>
      <c r="X218" s="814"/>
      <c r="Y218" s="814"/>
      <c r="Z218" s="814"/>
      <c r="AA218" s="816"/>
      <c r="AB218" s="814"/>
      <c r="AC218" s="814"/>
      <c r="AD218" s="814"/>
      <c r="AE218" s="814"/>
      <c r="AF218" s="814"/>
      <c r="AG218" s="814"/>
      <c r="AH218" s="816"/>
      <c r="AI218" s="814"/>
      <c r="AJ218" s="814"/>
      <c r="AK218" s="814"/>
      <c r="AL218" s="840"/>
      <c r="AM218" s="840"/>
    </row>
    <row r="219" spans="1:37" s="825" customFormat="1" ht="18" customHeight="1">
      <c r="A219" s="818"/>
      <c r="B219" s="717" t="s">
        <v>131</v>
      </c>
      <c r="C219" s="820"/>
      <c r="D219" s="819"/>
      <c r="E219" s="717"/>
      <c r="F219" s="820"/>
      <c r="G219" s="1135" t="s">
        <v>778</v>
      </c>
      <c r="H219" s="1136"/>
      <c r="I219" s="1136"/>
      <c r="J219" s="1136"/>
      <c r="K219" s="1136"/>
      <c r="L219" s="1136"/>
      <c r="M219" s="1136"/>
      <c r="N219" s="1137"/>
      <c r="O219" s="821"/>
      <c r="P219" s="822"/>
      <c r="Q219" s="818"/>
      <c r="R219" s="717"/>
      <c r="S219" s="818"/>
      <c r="T219" s="818"/>
      <c r="U219" s="717"/>
      <c r="V219" s="823"/>
      <c r="W219" s="717"/>
      <c r="X219" s="823"/>
      <c r="Y219" s="819"/>
      <c r="Z219" s="820"/>
      <c r="AA219" s="821"/>
      <c r="AB219" s="818"/>
      <c r="AC219" s="818"/>
      <c r="AD219" s="818"/>
      <c r="AE219" s="818"/>
      <c r="AF219" s="820"/>
      <c r="AG219" s="820"/>
      <c r="AH219" s="824"/>
      <c r="AI219" s="717"/>
      <c r="AJ219" s="717"/>
      <c r="AK219" s="717"/>
    </row>
    <row r="220" spans="1:39" ht="18" customHeight="1">
      <c r="A220" s="826"/>
      <c r="B220" s="720"/>
      <c r="C220" s="797"/>
      <c r="D220" s="719"/>
      <c r="E220" s="718"/>
      <c r="F220" s="718"/>
      <c r="G220" s="719"/>
      <c r="H220" s="791"/>
      <c r="I220" s="795"/>
      <c r="J220" s="790"/>
      <c r="K220" s="797"/>
      <c r="L220" s="790"/>
      <c r="M220" s="790"/>
      <c r="N220" s="790"/>
      <c r="O220" s="791"/>
      <c r="P220" s="795"/>
      <c r="Q220" s="790"/>
      <c r="R220" s="797"/>
      <c r="S220" s="790"/>
      <c r="T220" s="790"/>
      <c r="U220" s="797"/>
      <c r="V220" s="798"/>
      <c r="W220" s="797"/>
      <c r="X220" s="798"/>
      <c r="Y220" s="798"/>
      <c r="Z220" s="790"/>
      <c r="AA220" s="791"/>
      <c r="AB220" s="718"/>
      <c r="AC220" s="790"/>
      <c r="AD220" s="790"/>
      <c r="AE220" s="790"/>
      <c r="AF220" s="790"/>
      <c r="AG220" s="790"/>
      <c r="AH220" s="791"/>
      <c r="AI220" s="718"/>
      <c r="AJ220" s="797"/>
      <c r="AK220" s="797"/>
      <c r="AL220" s="797"/>
      <c r="AM220" s="797"/>
    </row>
    <row r="221" spans="1:39" ht="18" customHeight="1">
      <c r="A221" s="826">
        <v>137</v>
      </c>
      <c r="B221" s="720" t="s">
        <v>779</v>
      </c>
      <c r="C221" s="790" t="s">
        <v>703</v>
      </c>
      <c r="D221" s="719">
        <v>1960</v>
      </c>
      <c r="E221" s="718" t="s">
        <v>776</v>
      </c>
      <c r="F221" s="827" t="s">
        <v>1421</v>
      </c>
      <c r="G221" s="719">
        <v>1</v>
      </c>
      <c r="H221" s="791" t="s">
        <v>1422</v>
      </c>
      <c r="I221" s="795">
        <v>5.17</v>
      </c>
      <c r="J221" s="719">
        <f>I221*I260</f>
        <v>430144</v>
      </c>
      <c r="K221" s="719">
        <f>J221*15/100</f>
        <v>64521.6</v>
      </c>
      <c r="L221" s="790">
        <f>J221*5/100</f>
        <v>21507.2</v>
      </c>
      <c r="M221" s="719">
        <f>SUM(J221:L221)</f>
        <v>516172.8</v>
      </c>
      <c r="N221" s="790">
        <v>1</v>
      </c>
      <c r="O221" s="791" t="s">
        <v>1263</v>
      </c>
      <c r="P221" s="795">
        <v>5.17</v>
      </c>
      <c r="Q221" s="790">
        <f>P221*83200</f>
        <v>430144</v>
      </c>
      <c r="R221" s="797">
        <f>Q221*15/100</f>
        <v>64521.6</v>
      </c>
      <c r="S221" s="790">
        <f>Q221*5/100</f>
        <v>21507.2</v>
      </c>
      <c r="T221" s="719">
        <f>SUM(Q221:S221)</f>
        <v>516172.8</v>
      </c>
      <c r="U221" s="718">
        <f>+G221-N221</f>
        <v>0</v>
      </c>
      <c r="V221" s="719">
        <f aca="true" t="shared" si="75" ref="V221:Y224">J221-Q221</f>
        <v>0</v>
      </c>
      <c r="W221" s="719">
        <f t="shared" si="75"/>
        <v>0</v>
      </c>
      <c r="X221" s="719">
        <f t="shared" si="75"/>
        <v>0</v>
      </c>
      <c r="Y221" s="719">
        <f t="shared" si="75"/>
        <v>0</v>
      </c>
      <c r="Z221" s="790">
        <v>1</v>
      </c>
      <c r="AA221" s="791" t="s">
        <v>1423</v>
      </c>
      <c r="AB221" s="795">
        <v>5.17</v>
      </c>
      <c r="AC221" s="790">
        <f>AB221*I260</f>
        <v>430144</v>
      </c>
      <c r="AD221" s="790">
        <f>AC221*15/100</f>
        <v>64521.6</v>
      </c>
      <c r="AE221" s="790">
        <f>AC221*5/100</f>
        <v>21507.2</v>
      </c>
      <c r="AF221" s="719">
        <f>SUM(AC221:AE221)</f>
        <v>516172.8</v>
      </c>
      <c r="AG221" s="790">
        <v>1</v>
      </c>
      <c r="AH221" s="791" t="s">
        <v>1424</v>
      </c>
      <c r="AI221" s="795">
        <v>5.34</v>
      </c>
      <c r="AJ221" s="790">
        <f>AI221*I260</f>
        <v>444288</v>
      </c>
      <c r="AK221" s="797">
        <f>AJ221*15/100</f>
        <v>66643.2</v>
      </c>
      <c r="AL221" s="790">
        <f>AJ221*5/100</f>
        <v>22214.4</v>
      </c>
      <c r="AM221" s="719">
        <f>SUM(AJ221:AL221)</f>
        <v>533145.6</v>
      </c>
    </row>
    <row r="222" spans="1:39" ht="18" customHeight="1">
      <c r="A222" s="826">
        <v>138</v>
      </c>
      <c r="B222" s="720" t="s">
        <v>780</v>
      </c>
      <c r="C222" s="790" t="s">
        <v>703</v>
      </c>
      <c r="D222" s="719">
        <v>1990</v>
      </c>
      <c r="E222" s="718" t="s">
        <v>794</v>
      </c>
      <c r="F222" s="827" t="s">
        <v>1425</v>
      </c>
      <c r="G222" s="719">
        <v>1</v>
      </c>
      <c r="H222" s="791" t="s">
        <v>1426</v>
      </c>
      <c r="I222" s="795">
        <v>3.64</v>
      </c>
      <c r="J222" s="719">
        <f>I222*I260</f>
        <v>302848</v>
      </c>
      <c r="K222" s="719"/>
      <c r="L222" s="790"/>
      <c r="M222" s="719">
        <f>SUM(J222:L222)</f>
        <v>302848</v>
      </c>
      <c r="N222" s="790">
        <v>1</v>
      </c>
      <c r="O222" s="791" t="s">
        <v>1427</v>
      </c>
      <c r="P222" s="795">
        <v>3.64</v>
      </c>
      <c r="Q222" s="719">
        <f>P222*83200</f>
        <v>302848</v>
      </c>
      <c r="R222" s="719"/>
      <c r="S222" s="790"/>
      <c r="T222" s="790">
        <f>SUM(Q222:S222)</f>
        <v>302848</v>
      </c>
      <c r="U222" s="718">
        <f>+G222-N222</f>
        <v>0</v>
      </c>
      <c r="V222" s="719">
        <f t="shared" si="75"/>
        <v>0</v>
      </c>
      <c r="W222" s="718">
        <f t="shared" si="75"/>
        <v>0</v>
      </c>
      <c r="X222" s="719">
        <f t="shared" si="75"/>
        <v>0</v>
      </c>
      <c r="Y222" s="719">
        <f t="shared" si="75"/>
        <v>0</v>
      </c>
      <c r="Z222" s="790">
        <v>1</v>
      </c>
      <c r="AA222" s="791" t="s">
        <v>1428</v>
      </c>
      <c r="AB222" s="795">
        <v>3.76</v>
      </c>
      <c r="AC222" s="719">
        <f>AB222*I260</f>
        <v>312832</v>
      </c>
      <c r="AD222" s="719"/>
      <c r="AE222" s="790"/>
      <c r="AF222" s="719">
        <f>SUM(AC222:AE222)</f>
        <v>312832</v>
      </c>
      <c r="AG222" s="790">
        <v>1</v>
      </c>
      <c r="AH222" s="791" t="s">
        <v>1429</v>
      </c>
      <c r="AI222" s="795">
        <v>3.76</v>
      </c>
      <c r="AJ222" s="719">
        <f>AI222*I260</f>
        <v>312832</v>
      </c>
      <c r="AK222" s="719"/>
      <c r="AL222" s="790"/>
      <c r="AM222" s="719">
        <f>SUM(AJ222:AL222)</f>
        <v>312832</v>
      </c>
    </row>
    <row r="223" spans="1:39" s="837" customFormat="1" ht="18" customHeight="1">
      <c r="A223" s="871">
        <v>139</v>
      </c>
      <c r="B223" s="872" t="s">
        <v>781</v>
      </c>
      <c r="C223" s="561" t="s">
        <v>703</v>
      </c>
      <c r="D223" s="833">
        <v>1965</v>
      </c>
      <c r="E223" s="567" t="s">
        <v>794</v>
      </c>
      <c r="F223" s="827" t="s">
        <v>1430</v>
      </c>
      <c r="G223" s="833">
        <v>1</v>
      </c>
      <c r="H223" s="832" t="s">
        <v>1426</v>
      </c>
      <c r="I223" s="563">
        <v>3.76</v>
      </c>
      <c r="J223" s="561">
        <f>I223*I260</f>
        <v>312832</v>
      </c>
      <c r="K223" s="602"/>
      <c r="L223" s="561">
        <f>J223*5/100</f>
        <v>15641.6</v>
      </c>
      <c r="M223" s="719">
        <f>SUM(J223:L223)</f>
        <v>328473.6</v>
      </c>
      <c r="N223" s="561">
        <v>1</v>
      </c>
      <c r="O223" s="832" t="s">
        <v>1427</v>
      </c>
      <c r="P223" s="563">
        <v>3.76</v>
      </c>
      <c r="Q223" s="561">
        <f>P223*83200</f>
        <v>312832</v>
      </c>
      <c r="R223" s="602"/>
      <c r="S223" s="561">
        <f>Q223*5/100</f>
        <v>15641.6</v>
      </c>
      <c r="T223" s="719">
        <f>SUM(Q223:S223)</f>
        <v>328473.6</v>
      </c>
      <c r="U223" s="567">
        <f>+G223-N223</f>
        <v>0</v>
      </c>
      <c r="V223" s="833">
        <f t="shared" si="75"/>
        <v>0</v>
      </c>
      <c r="W223" s="567">
        <f t="shared" si="75"/>
        <v>0</v>
      </c>
      <c r="X223" s="833">
        <f t="shared" si="75"/>
        <v>0</v>
      </c>
      <c r="Y223" s="833">
        <f t="shared" si="75"/>
        <v>0</v>
      </c>
      <c r="Z223" s="561">
        <v>1</v>
      </c>
      <c r="AA223" s="832" t="s">
        <v>1428</v>
      </c>
      <c r="AB223" s="563">
        <v>3.88</v>
      </c>
      <c r="AC223" s="561">
        <f>AB223*I260</f>
        <v>322816</v>
      </c>
      <c r="AD223" s="602"/>
      <c r="AE223" s="561">
        <f>AC223*5/100</f>
        <v>16140.8</v>
      </c>
      <c r="AF223" s="719">
        <f>SUM(AC223:AE223)</f>
        <v>338956.8</v>
      </c>
      <c r="AG223" s="561">
        <v>1</v>
      </c>
      <c r="AH223" s="832" t="s">
        <v>1429</v>
      </c>
      <c r="AI223" s="563">
        <v>3.88</v>
      </c>
      <c r="AJ223" s="561">
        <f>AI223*I260</f>
        <v>322816</v>
      </c>
      <c r="AK223" s="602"/>
      <c r="AL223" s="561">
        <f>AJ223*5/100</f>
        <v>16140.8</v>
      </c>
      <c r="AM223" s="719">
        <f>SUM(AJ223:AL223)</f>
        <v>338956.8</v>
      </c>
    </row>
    <row r="224" spans="1:39" ht="18" customHeight="1">
      <c r="A224" s="826">
        <v>140</v>
      </c>
      <c r="B224" s="720"/>
      <c r="C224" s="790"/>
      <c r="D224" s="719"/>
      <c r="E224" s="718" t="s">
        <v>790</v>
      </c>
      <c r="F224" s="827" t="s">
        <v>1431</v>
      </c>
      <c r="G224" s="719">
        <v>1</v>
      </c>
      <c r="H224" s="791">
        <v>1</v>
      </c>
      <c r="I224" s="795">
        <v>3.76</v>
      </c>
      <c r="J224" s="790">
        <f>I224*I260</f>
        <v>312832</v>
      </c>
      <c r="K224" s="797"/>
      <c r="L224" s="790"/>
      <c r="M224" s="719">
        <f>SUM(J224:L224)</f>
        <v>312832</v>
      </c>
      <c r="N224" s="790">
        <v>1</v>
      </c>
      <c r="O224" s="791">
        <v>0</v>
      </c>
      <c r="P224" s="795">
        <v>3.76</v>
      </c>
      <c r="Q224" s="790">
        <f>P224*83200</f>
        <v>312832</v>
      </c>
      <c r="R224" s="797"/>
      <c r="S224" s="790"/>
      <c r="T224" s="790">
        <f>SUM(Q224:S224)</f>
        <v>312832</v>
      </c>
      <c r="U224" s="718">
        <f>+G224-N224</f>
        <v>0</v>
      </c>
      <c r="V224" s="719">
        <f t="shared" si="75"/>
        <v>0</v>
      </c>
      <c r="W224" s="718">
        <f t="shared" si="75"/>
        <v>0</v>
      </c>
      <c r="X224" s="719">
        <f t="shared" si="75"/>
        <v>0</v>
      </c>
      <c r="Y224" s="719">
        <f t="shared" si="75"/>
        <v>0</v>
      </c>
      <c r="Z224" s="790">
        <v>1</v>
      </c>
      <c r="AA224" s="791">
        <v>2</v>
      </c>
      <c r="AB224" s="795">
        <v>3.76</v>
      </c>
      <c r="AC224" s="790">
        <f>AB224*I260</f>
        <v>312832</v>
      </c>
      <c r="AD224" s="790"/>
      <c r="AE224" s="790"/>
      <c r="AF224" s="719">
        <f>SUM(AC224:AE224)</f>
        <v>312832</v>
      </c>
      <c r="AG224" s="790">
        <v>1</v>
      </c>
      <c r="AH224" s="791">
        <v>3</v>
      </c>
      <c r="AI224" s="795">
        <v>3.76</v>
      </c>
      <c r="AJ224" s="790">
        <f>AI224*I260</f>
        <v>312832</v>
      </c>
      <c r="AK224" s="797"/>
      <c r="AL224" s="790"/>
      <c r="AM224" s="719">
        <f>SUM(AJ224:AL224)</f>
        <v>312832</v>
      </c>
    </row>
    <row r="225" spans="1:39" s="740" customFormat="1" ht="18" customHeight="1">
      <c r="A225" s="818"/>
      <c r="B225" s="811" t="s">
        <v>132</v>
      </c>
      <c r="C225" s="813"/>
      <c r="D225" s="814"/>
      <c r="E225" s="815"/>
      <c r="F225" s="815"/>
      <c r="G225" s="814">
        <f>SUM(G221:G224)</f>
        <v>4</v>
      </c>
      <c r="H225" s="816" t="s">
        <v>1</v>
      </c>
      <c r="I225" s="814" t="s">
        <v>1</v>
      </c>
      <c r="J225" s="814">
        <f>SUM(J221:J224)</f>
        <v>1358656</v>
      </c>
      <c r="K225" s="814">
        <f>SUM(K221:K224)</f>
        <v>64521.6</v>
      </c>
      <c r="L225" s="814">
        <f>SUM(L221:L224)</f>
        <v>37148.8</v>
      </c>
      <c r="M225" s="814">
        <f>SUM(M221:M224)</f>
        <v>1460326.4</v>
      </c>
      <c r="N225" s="814">
        <f>SUM(N221:N224)</f>
        <v>4</v>
      </c>
      <c r="O225" s="816" t="s">
        <v>1</v>
      </c>
      <c r="P225" s="814" t="s">
        <v>1</v>
      </c>
      <c r="Q225" s="814">
        <f aca="true" t="shared" si="76" ref="Q225:Z225">SUM(Q221:Q224)</f>
        <v>1358656</v>
      </c>
      <c r="R225" s="814">
        <f t="shared" si="76"/>
        <v>64521.6</v>
      </c>
      <c r="S225" s="814">
        <f t="shared" si="76"/>
        <v>37148.8</v>
      </c>
      <c r="T225" s="814">
        <f t="shared" si="76"/>
        <v>1460326.4</v>
      </c>
      <c r="U225" s="814">
        <f t="shared" si="76"/>
        <v>0</v>
      </c>
      <c r="V225" s="814">
        <f t="shared" si="76"/>
        <v>0</v>
      </c>
      <c r="W225" s="814">
        <f t="shared" si="76"/>
        <v>0</v>
      </c>
      <c r="X225" s="814">
        <f t="shared" si="76"/>
        <v>0</v>
      </c>
      <c r="Y225" s="814">
        <f t="shared" si="76"/>
        <v>0</v>
      </c>
      <c r="Z225" s="814">
        <f t="shared" si="76"/>
        <v>4</v>
      </c>
      <c r="AA225" s="816" t="s">
        <v>1</v>
      </c>
      <c r="AB225" s="814" t="s">
        <v>1</v>
      </c>
      <c r="AC225" s="814">
        <f>SUM(AC221:AC224)</f>
        <v>1378624</v>
      </c>
      <c r="AD225" s="814">
        <f>SUM(AD221:AD224)</f>
        <v>64521.6</v>
      </c>
      <c r="AE225" s="814">
        <f>SUM(AE221:AE224)</f>
        <v>37648</v>
      </c>
      <c r="AF225" s="814">
        <f>SUM(AF221:AF224)</f>
        <v>1480793.6</v>
      </c>
      <c r="AG225" s="814">
        <f>SUM(AG221:AG224)</f>
        <v>4</v>
      </c>
      <c r="AH225" s="816" t="s">
        <v>1</v>
      </c>
      <c r="AI225" s="814" t="s">
        <v>1</v>
      </c>
      <c r="AJ225" s="814">
        <f>SUM(AJ221:AJ224)</f>
        <v>1392768</v>
      </c>
      <c r="AK225" s="814">
        <f>SUM(AK221:AK224)</f>
        <v>66643.2</v>
      </c>
      <c r="AL225" s="814">
        <f>SUM(AL221:AL224)</f>
        <v>38355.2</v>
      </c>
      <c r="AM225" s="814">
        <f>SUM(AM221:AM224)</f>
        <v>1497766.4</v>
      </c>
    </row>
    <row r="226" spans="1:39" s="740" customFormat="1" ht="18" customHeight="1">
      <c r="A226" s="818"/>
      <c r="B226" s="811"/>
      <c r="C226" s="813"/>
      <c r="D226" s="814"/>
      <c r="E226" s="815"/>
      <c r="F226" s="815"/>
      <c r="G226" s="814"/>
      <c r="H226" s="816"/>
      <c r="I226" s="814"/>
      <c r="J226" s="814"/>
      <c r="K226" s="814"/>
      <c r="L226" s="814"/>
      <c r="M226" s="814"/>
      <c r="N226" s="814"/>
      <c r="O226" s="816"/>
      <c r="P226" s="814"/>
      <c r="Q226" s="814"/>
      <c r="R226" s="814"/>
      <c r="S226" s="814"/>
      <c r="T226" s="814"/>
      <c r="U226" s="814"/>
      <c r="V226" s="814"/>
      <c r="W226" s="814"/>
      <c r="X226" s="814"/>
      <c r="Y226" s="814"/>
      <c r="Z226" s="814"/>
      <c r="AA226" s="816"/>
      <c r="AB226" s="814"/>
      <c r="AC226" s="814"/>
      <c r="AD226" s="814"/>
      <c r="AE226" s="814"/>
      <c r="AF226" s="814"/>
      <c r="AG226" s="814"/>
      <c r="AH226" s="816"/>
      <c r="AI226" s="814"/>
      <c r="AJ226" s="814"/>
      <c r="AK226" s="814"/>
      <c r="AL226" s="814"/>
      <c r="AM226" s="814"/>
    </row>
    <row r="227" spans="1:39" s="807" customFormat="1" ht="18" customHeight="1">
      <c r="A227" s="801"/>
      <c r="B227" s="873" t="s">
        <v>1432</v>
      </c>
      <c r="C227" s="873"/>
      <c r="D227" s="803" t="s">
        <v>1</v>
      </c>
      <c r="E227" s="804" t="s">
        <v>1</v>
      </c>
      <c r="F227" s="804" t="s">
        <v>1</v>
      </c>
      <c r="G227" s="803">
        <f>G50+G68+G84+G103+G122+G139+G155+G171+G185+G199+G209+G217+G225</f>
        <v>121</v>
      </c>
      <c r="H227" s="805" t="s">
        <v>1</v>
      </c>
      <c r="I227" s="806" t="s">
        <v>1</v>
      </c>
      <c r="J227" s="803">
        <f>J50+J68+J84+J103+J122+J139+J155+J171+J185+J199+J209+J217+J225</f>
        <v>42141890</v>
      </c>
      <c r="K227" s="803">
        <f>K50+K68+K84+K103+K122+K139+K155+K171+K185+K199+K209+K217+K225</f>
        <v>64521.6</v>
      </c>
      <c r="L227" s="803">
        <f>L50+L68+L84+L103+L122+L139+L155+L171+L185+L199+L209+L217+L225</f>
        <v>529456.1000000001</v>
      </c>
      <c r="M227" s="803">
        <f>M50+M68+M84+M103+M122+M139+M155+M171+M185+M199+M209+M217+M225</f>
        <v>42735867.699999996</v>
      </c>
      <c r="N227" s="803">
        <f>N50+N68+N84+N103+N122+N139+N155+N171+N185+N199+N209+N217+N225</f>
        <v>121</v>
      </c>
      <c r="O227" s="805" t="s">
        <v>1</v>
      </c>
      <c r="P227" s="806" t="s">
        <v>1</v>
      </c>
      <c r="Q227" s="803">
        <f aca="true" t="shared" si="77" ref="Q227:Z227">Q50+Q68+Q84+Q103+Q122+Q139+Q155+Q171+Q185+Q199+Q209+Q217+Q225</f>
        <v>41883550</v>
      </c>
      <c r="R227" s="803">
        <f t="shared" si="77"/>
        <v>64521.6</v>
      </c>
      <c r="S227" s="803">
        <f t="shared" si="77"/>
        <v>529393.5000000001</v>
      </c>
      <c r="T227" s="803">
        <f t="shared" si="77"/>
        <v>42477465.1</v>
      </c>
      <c r="U227" s="803">
        <f t="shared" si="77"/>
        <v>0</v>
      </c>
      <c r="V227" s="803">
        <f t="shared" si="77"/>
        <v>258339.99999999988</v>
      </c>
      <c r="W227" s="803">
        <f t="shared" si="77"/>
        <v>0</v>
      </c>
      <c r="X227" s="803">
        <f t="shared" si="77"/>
        <v>62.599999999998545</v>
      </c>
      <c r="Y227" s="803">
        <f t="shared" si="77"/>
        <v>258402.59999999986</v>
      </c>
      <c r="Z227" s="803">
        <f t="shared" si="77"/>
        <v>121</v>
      </c>
      <c r="AA227" s="805"/>
      <c r="AB227" s="874"/>
      <c r="AC227" s="803">
        <f>AC50+AC68+AC84+AC103+AC122+AC139+AC155+AC171+AC185+AC199+AC209+AC217+AC225</f>
        <v>42403138</v>
      </c>
      <c r="AD227" s="803">
        <f>AD50+AD68+AD84+AD103+AD122+AD139+AD155+AD171+AD185+AD199+AD209+AD217+AD225</f>
        <v>64521.6</v>
      </c>
      <c r="AE227" s="803">
        <f>AE50+AE68+AE84+AE103+AE122+AE139+AE155+AE171+AE185+AE199+AE209+AE217+AE225</f>
        <v>529955.3</v>
      </c>
      <c r="AF227" s="803">
        <f>AF50+AF68+AF84+AF103+AF122+AF139+AF155+AF171+AF185+AF199+AF209+AF217+AF225</f>
        <v>42997614.9</v>
      </c>
      <c r="AG227" s="803">
        <f>AG50+AG68+AG84+AG103+AG122+AG139+AG155+AG171+AG185+AG199+AG209+AG217+AG225</f>
        <v>121</v>
      </c>
      <c r="AH227" s="805"/>
      <c r="AI227" s="804"/>
      <c r="AJ227" s="803">
        <f>AJ50+AJ68+AJ84+AJ103+AJ122+AJ139+AJ155+AJ171+AJ185+AJ199+AJ209+AJ217+AJ225</f>
        <v>42671874</v>
      </c>
      <c r="AK227" s="803">
        <f>AK50+AK68+AK84+AK103+AK122+AK139+AK155+AK171+AK185+AK199+AK209+AK217+AK225</f>
        <v>66643.2</v>
      </c>
      <c r="AL227" s="803">
        <f>AL50+AL68+AL84+AL103+AL122+AL139+AL155+AL171+AL185+AL199+AL209+AL217+AL225</f>
        <v>534988.8999999999</v>
      </c>
      <c r="AM227" s="803">
        <f>AM50+AM68+AM84+AM103+AM122+AM139+AM155+AM171+AM185+AM199+AM209+AM217+AM225</f>
        <v>43273506.1</v>
      </c>
    </row>
    <row r="228" spans="1:39" ht="18" customHeight="1">
      <c r="A228" s="790"/>
      <c r="B228" s="802"/>
      <c r="C228" s="802"/>
      <c r="D228" s="719"/>
      <c r="E228" s="718"/>
      <c r="F228" s="718"/>
      <c r="G228" s="803"/>
      <c r="H228" s="791"/>
      <c r="I228" s="795"/>
      <c r="J228" s="801"/>
      <c r="K228" s="802"/>
      <c r="L228" s="801"/>
      <c r="M228" s="801"/>
      <c r="N228" s="801"/>
      <c r="O228" s="791"/>
      <c r="P228" s="795"/>
      <c r="Q228" s="801"/>
      <c r="R228" s="802"/>
      <c r="S228" s="801"/>
      <c r="T228" s="801"/>
      <c r="U228" s="802"/>
      <c r="V228" s="808"/>
      <c r="W228" s="802"/>
      <c r="X228" s="808"/>
      <c r="Y228" s="808"/>
      <c r="Z228" s="801"/>
      <c r="AA228" s="791"/>
      <c r="AB228" s="718"/>
      <c r="AC228" s="801"/>
      <c r="AD228" s="801"/>
      <c r="AE228" s="801"/>
      <c r="AF228" s="801"/>
      <c r="AG228" s="801"/>
      <c r="AH228" s="791"/>
      <c r="AI228" s="718"/>
      <c r="AJ228" s="802"/>
      <c r="AK228" s="802"/>
      <c r="AL228" s="802"/>
      <c r="AM228" s="802"/>
    </row>
    <row r="229" spans="1:39" ht="18" customHeight="1">
      <c r="A229" s="792" t="s">
        <v>5</v>
      </c>
      <c r="B229" s="793" t="s">
        <v>217</v>
      </c>
      <c r="C229" s="793"/>
      <c r="D229" s="719"/>
      <c r="E229" s="718"/>
      <c r="F229" s="718"/>
      <c r="G229" s="794"/>
      <c r="H229" s="816"/>
      <c r="I229" s="817"/>
      <c r="J229" s="794"/>
      <c r="K229" s="794"/>
      <c r="L229" s="794"/>
      <c r="M229" s="794"/>
      <c r="N229" s="794"/>
      <c r="O229" s="816"/>
      <c r="P229" s="814"/>
      <c r="Q229" s="794"/>
      <c r="R229" s="794"/>
      <c r="S229" s="794"/>
      <c r="T229" s="794"/>
      <c r="U229" s="794"/>
      <c r="V229" s="794"/>
      <c r="W229" s="794"/>
      <c r="X229" s="794"/>
      <c r="Y229" s="794"/>
      <c r="Z229" s="794"/>
      <c r="AA229" s="816"/>
      <c r="AB229" s="718"/>
      <c r="AC229" s="794"/>
      <c r="AD229" s="794"/>
      <c r="AE229" s="794"/>
      <c r="AF229" s="794"/>
      <c r="AG229" s="794"/>
      <c r="AH229" s="816"/>
      <c r="AI229" s="718"/>
      <c r="AJ229" s="794"/>
      <c r="AK229" s="794"/>
      <c r="AL229" s="794"/>
      <c r="AM229" s="794"/>
    </row>
    <row r="230" spans="1:39" ht="18" customHeight="1">
      <c r="A230" s="790"/>
      <c r="B230" s="797" t="s">
        <v>112</v>
      </c>
      <c r="C230" s="797"/>
      <c r="D230" s="719"/>
      <c r="E230" s="718"/>
      <c r="F230" s="718"/>
      <c r="G230" s="719"/>
      <c r="H230" s="791"/>
      <c r="I230" s="795"/>
      <c r="J230" s="790"/>
      <c r="K230" s="797"/>
      <c r="L230" s="790"/>
      <c r="M230" s="790"/>
      <c r="N230" s="790"/>
      <c r="O230" s="791"/>
      <c r="P230" s="795"/>
      <c r="Q230" s="790"/>
      <c r="R230" s="797"/>
      <c r="S230" s="790"/>
      <c r="T230" s="790"/>
      <c r="U230" s="797"/>
      <c r="V230" s="798"/>
      <c r="W230" s="797"/>
      <c r="X230" s="798"/>
      <c r="Y230" s="798"/>
      <c r="Z230" s="790"/>
      <c r="AA230" s="816" t="s">
        <v>1</v>
      </c>
      <c r="AB230" s="718" t="s">
        <v>1</v>
      </c>
      <c r="AC230" s="790"/>
      <c r="AD230" s="790"/>
      <c r="AE230" s="790"/>
      <c r="AF230" s="790"/>
      <c r="AG230" s="790"/>
      <c r="AH230" s="816" t="s">
        <v>1</v>
      </c>
      <c r="AI230" s="718" t="s">
        <v>1</v>
      </c>
      <c r="AJ230" s="790"/>
      <c r="AK230" s="790"/>
      <c r="AL230" s="790"/>
      <c r="AM230" s="790"/>
    </row>
    <row r="231" spans="1:39" s="740" customFormat="1" ht="18" customHeight="1">
      <c r="A231" s="792">
        <v>1</v>
      </c>
      <c r="B231" s="793" t="s">
        <v>685</v>
      </c>
      <c r="C231" s="813"/>
      <c r="D231" s="814"/>
      <c r="E231" s="815"/>
      <c r="F231" s="815"/>
      <c r="G231" s="814"/>
      <c r="H231" s="816"/>
      <c r="I231" s="817"/>
      <c r="J231" s="814"/>
      <c r="K231" s="814"/>
      <c r="L231" s="814"/>
      <c r="M231" s="814"/>
      <c r="N231" s="814"/>
      <c r="O231" s="816"/>
      <c r="P231" s="814"/>
      <c r="Q231" s="814"/>
      <c r="R231" s="814"/>
      <c r="S231" s="814"/>
      <c r="T231" s="814"/>
      <c r="U231" s="815"/>
      <c r="V231" s="814"/>
      <c r="W231" s="815"/>
      <c r="X231" s="814"/>
      <c r="Y231" s="814"/>
      <c r="Z231" s="814"/>
      <c r="AA231" s="816"/>
      <c r="AB231" s="718"/>
      <c r="AC231" s="814"/>
      <c r="AD231" s="814"/>
      <c r="AE231" s="814"/>
      <c r="AF231" s="814"/>
      <c r="AG231" s="814"/>
      <c r="AH231" s="816"/>
      <c r="AI231" s="718"/>
      <c r="AJ231" s="814"/>
      <c r="AK231" s="814"/>
      <c r="AL231" s="814"/>
      <c r="AM231" s="814"/>
    </row>
    <row r="232" spans="1:39" s="726" customFormat="1" ht="18" customHeight="1">
      <c r="A232" s="790">
        <v>141</v>
      </c>
      <c r="B232" s="875" t="s">
        <v>686</v>
      </c>
      <c r="C232" s="790" t="s">
        <v>703</v>
      </c>
      <c r="D232" s="719">
        <v>1990</v>
      </c>
      <c r="E232" s="876" t="s">
        <v>687</v>
      </c>
      <c r="F232" s="718" t="s">
        <v>1</v>
      </c>
      <c r="G232" s="719">
        <v>1</v>
      </c>
      <c r="H232" s="791" t="s">
        <v>1</v>
      </c>
      <c r="I232" s="795">
        <v>3.5</v>
      </c>
      <c r="J232" s="790">
        <f>I232*I260</f>
        <v>291200</v>
      </c>
      <c r="K232" s="790"/>
      <c r="L232" s="790"/>
      <c r="M232" s="790">
        <f>J232</f>
        <v>291200</v>
      </c>
      <c r="N232" s="790">
        <v>1</v>
      </c>
      <c r="O232" s="791" t="s">
        <v>1</v>
      </c>
      <c r="P232" s="795">
        <v>3.5</v>
      </c>
      <c r="Q232" s="790">
        <f>P232*83200</f>
        <v>291200</v>
      </c>
      <c r="R232" s="790"/>
      <c r="S232" s="790"/>
      <c r="T232" s="790">
        <f>Q232</f>
        <v>291200</v>
      </c>
      <c r="U232" s="718">
        <f>+G232-N232</f>
        <v>0</v>
      </c>
      <c r="V232" s="719">
        <f aca="true" t="shared" si="78" ref="V232:X233">J232-Q232</f>
        <v>0</v>
      </c>
      <c r="W232" s="718">
        <f t="shared" si="78"/>
        <v>0</v>
      </c>
      <c r="X232" s="719">
        <f t="shared" si="78"/>
        <v>0</v>
      </c>
      <c r="Y232" s="719">
        <f>V232+W232+X232</f>
        <v>0</v>
      </c>
      <c r="Z232" s="790">
        <v>1</v>
      </c>
      <c r="AA232" s="791" t="s">
        <v>1</v>
      </c>
      <c r="AB232" s="718">
        <v>3.5</v>
      </c>
      <c r="AC232" s="790">
        <f>AB232*I260</f>
        <v>291200</v>
      </c>
      <c r="AD232" s="790"/>
      <c r="AE232" s="790"/>
      <c r="AF232" s="790">
        <f>AC232</f>
        <v>291200</v>
      </c>
      <c r="AG232" s="790">
        <v>1</v>
      </c>
      <c r="AH232" s="791" t="s">
        <v>1</v>
      </c>
      <c r="AI232" s="718">
        <v>3.5</v>
      </c>
      <c r="AJ232" s="790">
        <f>AI232*I260</f>
        <v>291200</v>
      </c>
      <c r="AK232" s="790"/>
      <c r="AL232" s="790"/>
      <c r="AM232" s="790">
        <f>AJ232</f>
        <v>291200</v>
      </c>
    </row>
    <row r="233" spans="1:39" ht="18" customHeight="1">
      <c r="A233" s="826">
        <v>142</v>
      </c>
      <c r="B233" s="720" t="s">
        <v>765</v>
      </c>
      <c r="C233" s="790" t="s">
        <v>697</v>
      </c>
      <c r="D233" s="719">
        <v>1993</v>
      </c>
      <c r="E233" s="718" t="s">
        <v>791</v>
      </c>
      <c r="F233" s="718" t="s">
        <v>1</v>
      </c>
      <c r="G233" s="719">
        <v>1</v>
      </c>
      <c r="H233" s="791" t="s">
        <v>1</v>
      </c>
      <c r="I233" s="795">
        <v>2.75</v>
      </c>
      <c r="J233" s="790">
        <f>I233*I260</f>
        <v>228800</v>
      </c>
      <c r="K233" s="797"/>
      <c r="L233" s="790"/>
      <c r="M233" s="719">
        <f>SUM(J233:L233)</f>
        <v>228800</v>
      </c>
      <c r="N233" s="790">
        <v>1</v>
      </c>
      <c r="O233" s="791" t="s">
        <v>1</v>
      </c>
      <c r="P233" s="795">
        <v>2.75</v>
      </c>
      <c r="Q233" s="790">
        <f>P233*83200</f>
        <v>228800</v>
      </c>
      <c r="R233" s="797"/>
      <c r="S233" s="790"/>
      <c r="T233" s="790">
        <f>Q233+R233+S233</f>
        <v>228800</v>
      </c>
      <c r="U233" s="718">
        <f>+G233-N233</f>
        <v>0</v>
      </c>
      <c r="V233" s="719">
        <f t="shared" si="78"/>
        <v>0</v>
      </c>
      <c r="W233" s="718">
        <f t="shared" si="78"/>
        <v>0</v>
      </c>
      <c r="X233" s="719">
        <f t="shared" si="78"/>
        <v>0</v>
      </c>
      <c r="Y233" s="719">
        <f>M233-T233</f>
        <v>0</v>
      </c>
      <c r="Z233" s="790">
        <v>1</v>
      </c>
      <c r="AA233" s="791" t="s">
        <v>1</v>
      </c>
      <c r="AB233" s="795">
        <v>2.75</v>
      </c>
      <c r="AC233" s="790">
        <f>AB233*I260</f>
        <v>228800</v>
      </c>
      <c r="AD233" s="797"/>
      <c r="AE233" s="790"/>
      <c r="AF233" s="790">
        <f>AC233+AD233+AE233</f>
        <v>228800</v>
      </c>
      <c r="AG233" s="790">
        <v>1</v>
      </c>
      <c r="AH233" s="791" t="s">
        <v>1</v>
      </c>
      <c r="AI233" s="795">
        <v>2.75</v>
      </c>
      <c r="AJ233" s="790">
        <f>AI233*I260</f>
        <v>228800</v>
      </c>
      <c r="AK233" s="797"/>
      <c r="AL233" s="790"/>
      <c r="AM233" s="790">
        <f>AJ233+AK233+AL233</f>
        <v>228800</v>
      </c>
    </row>
    <row r="234" spans="1:39" ht="18" customHeight="1">
      <c r="A234" s="790"/>
      <c r="B234" s="717"/>
      <c r="C234" s="797"/>
      <c r="D234" s="719"/>
      <c r="E234" s="718"/>
      <c r="F234" s="718"/>
      <c r="G234" s="719"/>
      <c r="H234" s="791"/>
      <c r="I234" s="795"/>
      <c r="J234" s="790"/>
      <c r="K234" s="797"/>
      <c r="L234" s="790"/>
      <c r="M234" s="790"/>
      <c r="N234" s="790"/>
      <c r="O234" s="791"/>
      <c r="P234" s="795"/>
      <c r="Q234" s="790"/>
      <c r="R234" s="797"/>
      <c r="S234" s="790"/>
      <c r="T234" s="790"/>
      <c r="U234" s="797"/>
      <c r="V234" s="798"/>
      <c r="W234" s="797"/>
      <c r="X234" s="798"/>
      <c r="Y234" s="798"/>
      <c r="Z234" s="790"/>
      <c r="AA234" s="791"/>
      <c r="AB234" s="718"/>
      <c r="AC234" s="790"/>
      <c r="AD234" s="790"/>
      <c r="AE234" s="790"/>
      <c r="AF234" s="790"/>
      <c r="AG234" s="797"/>
      <c r="AH234" s="791"/>
      <c r="AI234" s="718"/>
      <c r="AJ234" s="797"/>
      <c r="AK234" s="797"/>
      <c r="AL234" s="797"/>
      <c r="AM234" s="797"/>
    </row>
    <row r="235" spans="1:39" s="745" customFormat="1" ht="18" customHeight="1">
      <c r="A235" s="792"/>
      <c r="B235" s="877" t="s">
        <v>62</v>
      </c>
      <c r="C235" s="792"/>
      <c r="D235" s="814"/>
      <c r="E235" s="815"/>
      <c r="F235" s="815"/>
      <c r="G235" s="814">
        <f>SUM(G232:G234)</f>
        <v>2</v>
      </c>
      <c r="H235" s="816"/>
      <c r="I235" s="817"/>
      <c r="J235" s="814">
        <f>SUM(J232:J234)</f>
        <v>520000</v>
      </c>
      <c r="K235" s="792"/>
      <c r="L235" s="792"/>
      <c r="M235" s="814">
        <f>SUM(M232:M234)</f>
        <v>520000</v>
      </c>
      <c r="N235" s="814">
        <f>SUM(N232:N234)</f>
        <v>2</v>
      </c>
      <c r="O235" s="816"/>
      <c r="P235" s="817"/>
      <c r="Q235" s="814">
        <f>SUM(Q232:Q234)</f>
        <v>520000</v>
      </c>
      <c r="R235" s="792"/>
      <c r="S235" s="792"/>
      <c r="T235" s="814">
        <f>SUM(T232:T234)</f>
        <v>520000</v>
      </c>
      <c r="U235" s="814">
        <f aca="true" t="shared" si="79" ref="U235:Z235">SUM(U232:U234)</f>
        <v>0</v>
      </c>
      <c r="V235" s="814">
        <f t="shared" si="79"/>
        <v>0</v>
      </c>
      <c r="W235" s="814">
        <f t="shared" si="79"/>
        <v>0</v>
      </c>
      <c r="X235" s="814">
        <f t="shared" si="79"/>
        <v>0</v>
      </c>
      <c r="Y235" s="814">
        <f t="shared" si="79"/>
        <v>0</v>
      </c>
      <c r="Z235" s="814">
        <f t="shared" si="79"/>
        <v>2</v>
      </c>
      <c r="AA235" s="816" t="str">
        <f>AA232</f>
        <v>x</v>
      </c>
      <c r="AB235" s="719" t="s">
        <v>1</v>
      </c>
      <c r="AC235" s="814">
        <f>SUM(AC232:AC234)</f>
        <v>520000</v>
      </c>
      <c r="AD235" s="814">
        <f>SUM(AD232:AD234)</f>
        <v>0</v>
      </c>
      <c r="AE235" s="814">
        <f>SUM(AE232:AE234)</f>
        <v>0</v>
      </c>
      <c r="AF235" s="814">
        <f>SUM(AF232:AF234)</f>
        <v>520000</v>
      </c>
      <c r="AG235" s="814">
        <f>SUM(AG232:AG234)</f>
        <v>2</v>
      </c>
      <c r="AH235" s="816" t="str">
        <f>AH232</f>
        <v>x</v>
      </c>
      <c r="AI235" s="719" t="s">
        <v>1</v>
      </c>
      <c r="AJ235" s="814">
        <f>SUM(AJ232:AJ234)</f>
        <v>520000</v>
      </c>
      <c r="AK235" s="814">
        <f>SUM(AK232:AK234)</f>
        <v>0</v>
      </c>
      <c r="AL235" s="814">
        <f>SUM(AL232:AL234)</f>
        <v>0</v>
      </c>
      <c r="AM235" s="814">
        <f>SUM(AM232:AM234)</f>
        <v>520000</v>
      </c>
    </row>
    <row r="236" spans="1:39" s="740" customFormat="1" ht="18" customHeight="1">
      <c r="A236" s="792">
        <v>2</v>
      </c>
      <c r="B236" s="793" t="s">
        <v>796</v>
      </c>
      <c r="C236" s="813"/>
      <c r="D236" s="814"/>
      <c r="E236" s="815"/>
      <c r="F236" s="815"/>
      <c r="G236" s="814"/>
      <c r="H236" s="816"/>
      <c r="I236" s="817"/>
      <c r="J236" s="814"/>
      <c r="K236" s="814"/>
      <c r="L236" s="814"/>
      <c r="M236" s="814"/>
      <c r="N236" s="814"/>
      <c r="O236" s="816"/>
      <c r="P236" s="817"/>
      <c r="Q236" s="814"/>
      <c r="R236" s="814"/>
      <c r="S236" s="814"/>
      <c r="T236" s="814"/>
      <c r="U236" s="815"/>
      <c r="V236" s="814"/>
      <c r="W236" s="815"/>
      <c r="X236" s="814"/>
      <c r="Y236" s="814"/>
      <c r="Z236" s="814"/>
      <c r="AA236" s="816"/>
      <c r="AB236" s="718"/>
      <c r="AC236" s="814"/>
      <c r="AD236" s="814"/>
      <c r="AE236" s="814"/>
      <c r="AF236" s="814"/>
      <c r="AG236" s="814"/>
      <c r="AH236" s="816"/>
      <c r="AI236" s="718"/>
      <c r="AJ236" s="814"/>
      <c r="AK236" s="814"/>
      <c r="AL236" s="814"/>
      <c r="AM236" s="814"/>
    </row>
    <row r="237" spans="1:39" ht="18" customHeight="1">
      <c r="A237" s="826">
        <v>143</v>
      </c>
      <c r="B237" s="720" t="s">
        <v>783</v>
      </c>
      <c r="C237" s="790" t="s">
        <v>697</v>
      </c>
      <c r="D237" s="719">
        <v>1975</v>
      </c>
      <c r="E237" s="718" t="s">
        <v>766</v>
      </c>
      <c r="F237" s="718" t="s">
        <v>1</v>
      </c>
      <c r="G237" s="719">
        <v>1</v>
      </c>
      <c r="H237" s="791" t="s">
        <v>1</v>
      </c>
      <c r="I237" s="795">
        <v>1.6</v>
      </c>
      <c r="J237" s="790">
        <f>I237*I260</f>
        <v>133120</v>
      </c>
      <c r="K237" s="797"/>
      <c r="L237" s="790"/>
      <c r="M237" s="719">
        <f aca="true" t="shared" si="80" ref="M237:M249">SUM(J237:L237)</f>
        <v>133120</v>
      </c>
      <c r="N237" s="790">
        <v>1</v>
      </c>
      <c r="O237" s="791" t="s">
        <v>1</v>
      </c>
      <c r="P237" s="795">
        <v>1.6</v>
      </c>
      <c r="Q237" s="790">
        <f aca="true" t="shared" si="81" ref="Q237:Q247">P237*83200</f>
        <v>133120</v>
      </c>
      <c r="R237" s="797"/>
      <c r="S237" s="790"/>
      <c r="T237" s="790">
        <f aca="true" t="shared" si="82" ref="T237:T249">Q237+R237+S237</f>
        <v>133120</v>
      </c>
      <c r="U237" s="718">
        <f aca="true" t="shared" si="83" ref="U237:U249">+G237-N237</f>
        <v>0</v>
      </c>
      <c r="V237" s="719">
        <f>J237-Q237</f>
        <v>0</v>
      </c>
      <c r="W237" s="718">
        <f>K237-R237</f>
        <v>0</v>
      </c>
      <c r="X237" s="719">
        <f>L237-S237</f>
        <v>0</v>
      </c>
      <c r="Y237" s="719">
        <f aca="true" t="shared" si="84" ref="Y237:Y244">M237-T237</f>
        <v>0</v>
      </c>
      <c r="Z237" s="790">
        <v>1</v>
      </c>
      <c r="AA237" s="791" t="s">
        <v>1</v>
      </c>
      <c r="AB237" s="795">
        <v>1.6</v>
      </c>
      <c r="AC237" s="790">
        <f>AB237*I260</f>
        <v>133120</v>
      </c>
      <c r="AD237" s="797"/>
      <c r="AE237" s="790"/>
      <c r="AF237" s="790">
        <f aca="true" t="shared" si="85" ref="AF237:AF249">AC237+AD237+AE237</f>
        <v>133120</v>
      </c>
      <c r="AG237" s="790">
        <v>1</v>
      </c>
      <c r="AH237" s="791" t="s">
        <v>1</v>
      </c>
      <c r="AI237" s="795">
        <v>1.6</v>
      </c>
      <c r="AJ237" s="790">
        <f>AI237*I260</f>
        <v>133120</v>
      </c>
      <c r="AK237" s="797"/>
      <c r="AL237" s="790"/>
      <c r="AM237" s="790">
        <f aca="true" t="shared" si="86" ref="AM237:AM249">AJ237+AK237+AL237</f>
        <v>133120</v>
      </c>
    </row>
    <row r="238" spans="1:39" ht="18" customHeight="1">
      <c r="A238" s="826">
        <v>144</v>
      </c>
      <c r="B238" s="720" t="s">
        <v>785</v>
      </c>
      <c r="C238" s="790" t="s">
        <v>697</v>
      </c>
      <c r="D238" s="719">
        <v>1975</v>
      </c>
      <c r="E238" s="718" t="s">
        <v>766</v>
      </c>
      <c r="F238" s="718" t="s">
        <v>1</v>
      </c>
      <c r="G238" s="719">
        <v>1</v>
      </c>
      <c r="H238" s="791" t="s">
        <v>1</v>
      </c>
      <c r="I238" s="795">
        <v>1.6</v>
      </c>
      <c r="J238" s="790">
        <f>I238*I260</f>
        <v>133120</v>
      </c>
      <c r="K238" s="797"/>
      <c r="L238" s="790"/>
      <c r="M238" s="719">
        <f>SUM(J238:L238)</f>
        <v>133120</v>
      </c>
      <c r="N238" s="790">
        <v>1</v>
      </c>
      <c r="O238" s="791" t="s">
        <v>1</v>
      </c>
      <c r="P238" s="795">
        <v>1.6</v>
      </c>
      <c r="Q238" s="790">
        <f>P238*83200</f>
        <v>133120</v>
      </c>
      <c r="R238" s="797"/>
      <c r="S238" s="790"/>
      <c r="T238" s="790">
        <f>Q238+R238+S238</f>
        <v>133120</v>
      </c>
      <c r="U238" s="718">
        <f>+G238-N238</f>
        <v>0</v>
      </c>
      <c r="V238" s="719">
        <f aca="true" t="shared" si="87" ref="V238:X239">J238-Q238</f>
        <v>0</v>
      </c>
      <c r="W238" s="718">
        <f t="shared" si="87"/>
        <v>0</v>
      </c>
      <c r="X238" s="719">
        <f t="shared" si="87"/>
        <v>0</v>
      </c>
      <c r="Y238" s="719">
        <f t="shared" si="84"/>
        <v>0</v>
      </c>
      <c r="Z238" s="790">
        <v>1</v>
      </c>
      <c r="AA238" s="791" t="s">
        <v>1</v>
      </c>
      <c r="AB238" s="795">
        <v>1.6</v>
      </c>
      <c r="AC238" s="790">
        <f>AB238*I260</f>
        <v>133120</v>
      </c>
      <c r="AD238" s="797"/>
      <c r="AE238" s="790"/>
      <c r="AF238" s="790">
        <f>AC238+AD238+AE238</f>
        <v>133120</v>
      </c>
      <c r="AG238" s="790">
        <v>1</v>
      </c>
      <c r="AH238" s="791" t="s">
        <v>1</v>
      </c>
      <c r="AI238" s="795">
        <v>1.6</v>
      </c>
      <c r="AJ238" s="790">
        <f>AI238*I260</f>
        <v>133120</v>
      </c>
      <c r="AK238" s="797"/>
      <c r="AL238" s="790"/>
      <c r="AM238" s="790">
        <f>AJ238+AK238+AL238</f>
        <v>133120</v>
      </c>
    </row>
    <row r="239" spans="1:39" ht="18" customHeight="1">
      <c r="A239" s="826">
        <v>145</v>
      </c>
      <c r="B239" s="720" t="s">
        <v>784</v>
      </c>
      <c r="C239" s="790" t="s">
        <v>697</v>
      </c>
      <c r="D239" s="719">
        <v>1983</v>
      </c>
      <c r="E239" s="718" t="s">
        <v>766</v>
      </c>
      <c r="F239" s="718" t="s">
        <v>1</v>
      </c>
      <c r="G239" s="719">
        <v>1</v>
      </c>
      <c r="H239" s="791" t="s">
        <v>1</v>
      </c>
      <c r="I239" s="795">
        <v>1.6</v>
      </c>
      <c r="J239" s="790">
        <f>I239*I260</f>
        <v>133120</v>
      </c>
      <c r="K239" s="797"/>
      <c r="L239" s="790"/>
      <c r="M239" s="719">
        <f>SUM(J239:L239)</f>
        <v>133120</v>
      </c>
      <c r="N239" s="790">
        <v>1</v>
      </c>
      <c r="O239" s="791" t="s">
        <v>1</v>
      </c>
      <c r="P239" s="795">
        <v>1.6</v>
      </c>
      <c r="Q239" s="790">
        <f>P239*83200</f>
        <v>133120</v>
      </c>
      <c r="R239" s="797"/>
      <c r="S239" s="790"/>
      <c r="T239" s="790">
        <f>Q239+R239+S239</f>
        <v>133120</v>
      </c>
      <c r="U239" s="718">
        <f>+G239-N239</f>
        <v>0</v>
      </c>
      <c r="V239" s="719">
        <f t="shared" si="87"/>
        <v>0</v>
      </c>
      <c r="W239" s="718">
        <f t="shared" si="87"/>
        <v>0</v>
      </c>
      <c r="X239" s="719">
        <f t="shared" si="87"/>
        <v>0</v>
      </c>
      <c r="Y239" s="719">
        <f t="shared" si="84"/>
        <v>0</v>
      </c>
      <c r="Z239" s="790">
        <v>1</v>
      </c>
      <c r="AA239" s="791" t="s">
        <v>1</v>
      </c>
      <c r="AB239" s="795">
        <v>1.6</v>
      </c>
      <c r="AC239" s="790">
        <f>AB239*I260</f>
        <v>133120</v>
      </c>
      <c r="AD239" s="797"/>
      <c r="AE239" s="790"/>
      <c r="AF239" s="790">
        <f>AC239+AD239+AE239</f>
        <v>133120</v>
      </c>
      <c r="AG239" s="790">
        <v>1</v>
      </c>
      <c r="AH239" s="791" t="s">
        <v>1</v>
      </c>
      <c r="AI239" s="795">
        <v>1.6</v>
      </c>
      <c r="AJ239" s="790">
        <f>AI239*I260</f>
        <v>133120</v>
      </c>
      <c r="AK239" s="797"/>
      <c r="AL239" s="790"/>
      <c r="AM239" s="790">
        <f>AJ239+AK239+AL239</f>
        <v>133120</v>
      </c>
    </row>
    <row r="240" spans="1:39" ht="18" customHeight="1">
      <c r="A240" s="826">
        <v>146</v>
      </c>
      <c r="B240" s="720" t="s">
        <v>767</v>
      </c>
      <c r="C240" s="790" t="s">
        <v>697</v>
      </c>
      <c r="D240" s="719">
        <v>1975</v>
      </c>
      <c r="E240" s="718" t="s">
        <v>766</v>
      </c>
      <c r="F240" s="718" t="s">
        <v>1</v>
      </c>
      <c r="G240" s="719">
        <v>1</v>
      </c>
      <c r="H240" s="791" t="s">
        <v>1</v>
      </c>
      <c r="I240" s="795">
        <v>1.6</v>
      </c>
      <c r="J240" s="790">
        <f>I240*I260</f>
        <v>133120</v>
      </c>
      <c r="K240" s="797"/>
      <c r="L240" s="790"/>
      <c r="M240" s="719">
        <f t="shared" si="80"/>
        <v>133120</v>
      </c>
      <c r="N240" s="790">
        <v>1</v>
      </c>
      <c r="O240" s="791" t="s">
        <v>1</v>
      </c>
      <c r="P240" s="795">
        <v>1.6</v>
      </c>
      <c r="Q240" s="790">
        <f t="shared" si="81"/>
        <v>133120</v>
      </c>
      <c r="R240" s="797"/>
      <c r="S240" s="790"/>
      <c r="T240" s="790">
        <f t="shared" si="82"/>
        <v>133120</v>
      </c>
      <c r="U240" s="718">
        <f t="shared" si="83"/>
        <v>0</v>
      </c>
      <c r="V240" s="719">
        <f>J240-Q240</f>
        <v>0</v>
      </c>
      <c r="W240" s="718">
        <f>K240-R240</f>
        <v>0</v>
      </c>
      <c r="X240" s="719">
        <f>L240-S240</f>
        <v>0</v>
      </c>
      <c r="Y240" s="719">
        <f t="shared" si="84"/>
        <v>0</v>
      </c>
      <c r="Z240" s="790">
        <v>1</v>
      </c>
      <c r="AA240" s="791" t="s">
        <v>1</v>
      </c>
      <c r="AB240" s="795">
        <v>1.6</v>
      </c>
      <c r="AC240" s="790">
        <f>AB240*I260</f>
        <v>133120</v>
      </c>
      <c r="AD240" s="797"/>
      <c r="AE240" s="790"/>
      <c r="AF240" s="790">
        <f t="shared" si="85"/>
        <v>133120</v>
      </c>
      <c r="AG240" s="790">
        <v>1</v>
      </c>
      <c r="AH240" s="791" t="s">
        <v>1</v>
      </c>
      <c r="AI240" s="795">
        <v>1.6</v>
      </c>
      <c r="AJ240" s="790">
        <f>AI240*I260</f>
        <v>133120</v>
      </c>
      <c r="AK240" s="797"/>
      <c r="AL240" s="790"/>
      <c r="AM240" s="790">
        <f t="shared" si="86"/>
        <v>133120</v>
      </c>
    </row>
    <row r="241" spans="1:39" ht="18" customHeight="1">
      <c r="A241" s="826">
        <v>147</v>
      </c>
      <c r="B241" s="720" t="s">
        <v>768</v>
      </c>
      <c r="C241" s="790" t="s">
        <v>697</v>
      </c>
      <c r="D241" s="719">
        <v>1982</v>
      </c>
      <c r="E241" s="718" t="s">
        <v>766</v>
      </c>
      <c r="F241" s="718" t="s">
        <v>1</v>
      </c>
      <c r="G241" s="719">
        <v>1</v>
      </c>
      <c r="H241" s="791" t="s">
        <v>1</v>
      </c>
      <c r="I241" s="795">
        <v>1.6</v>
      </c>
      <c r="J241" s="790">
        <f>I241*I260</f>
        <v>133120</v>
      </c>
      <c r="K241" s="797"/>
      <c r="L241" s="790"/>
      <c r="M241" s="719">
        <f>SUM(J241:L241)</f>
        <v>133120</v>
      </c>
      <c r="N241" s="790">
        <v>1</v>
      </c>
      <c r="O241" s="791" t="s">
        <v>1</v>
      </c>
      <c r="P241" s="795">
        <v>1.6</v>
      </c>
      <c r="Q241" s="790">
        <f>P241*83200</f>
        <v>133120</v>
      </c>
      <c r="R241" s="797"/>
      <c r="S241" s="790"/>
      <c r="T241" s="790">
        <f>Q241+R241+S241</f>
        <v>133120</v>
      </c>
      <c r="U241" s="718">
        <f>+G241-N241</f>
        <v>0</v>
      </c>
      <c r="V241" s="719">
        <f aca="true" t="shared" si="88" ref="V241:X249">J241-Q241</f>
        <v>0</v>
      </c>
      <c r="W241" s="718">
        <f t="shared" si="88"/>
        <v>0</v>
      </c>
      <c r="X241" s="719">
        <f t="shared" si="88"/>
        <v>0</v>
      </c>
      <c r="Y241" s="719">
        <f t="shared" si="84"/>
        <v>0</v>
      </c>
      <c r="Z241" s="790">
        <v>1</v>
      </c>
      <c r="AA241" s="791" t="s">
        <v>1</v>
      </c>
      <c r="AB241" s="795">
        <v>1.6</v>
      </c>
      <c r="AC241" s="790">
        <f>AB241*I260</f>
        <v>133120</v>
      </c>
      <c r="AD241" s="797"/>
      <c r="AE241" s="790"/>
      <c r="AF241" s="790">
        <f>AC241+AD241+AE241</f>
        <v>133120</v>
      </c>
      <c r="AG241" s="790">
        <v>1</v>
      </c>
      <c r="AH241" s="791" t="s">
        <v>1</v>
      </c>
      <c r="AI241" s="795">
        <v>1.6</v>
      </c>
      <c r="AJ241" s="790">
        <f>AI241*I260</f>
        <v>133120</v>
      </c>
      <c r="AK241" s="797"/>
      <c r="AL241" s="790"/>
      <c r="AM241" s="790">
        <f>AJ241+AK241+AL241</f>
        <v>133120</v>
      </c>
    </row>
    <row r="242" spans="1:39" ht="18" customHeight="1">
      <c r="A242" s="826">
        <v>148</v>
      </c>
      <c r="B242" s="720" t="s">
        <v>1433</v>
      </c>
      <c r="C242" s="790" t="s">
        <v>697</v>
      </c>
      <c r="D242" s="719">
        <v>1962</v>
      </c>
      <c r="E242" s="718" t="s">
        <v>766</v>
      </c>
      <c r="F242" s="718" t="s">
        <v>1</v>
      </c>
      <c r="G242" s="719">
        <v>1</v>
      </c>
      <c r="H242" s="791" t="s">
        <v>1</v>
      </c>
      <c r="I242" s="795">
        <v>1.6</v>
      </c>
      <c r="J242" s="790">
        <f>I242*I260</f>
        <v>133120</v>
      </c>
      <c r="K242" s="797"/>
      <c r="L242" s="790"/>
      <c r="M242" s="719">
        <f>SUM(J242:L242)</f>
        <v>133120</v>
      </c>
      <c r="N242" s="790">
        <v>1</v>
      </c>
      <c r="O242" s="791" t="s">
        <v>1</v>
      </c>
      <c r="P242" s="795">
        <v>1.6</v>
      </c>
      <c r="Q242" s="790">
        <f>P242*83200</f>
        <v>133120</v>
      </c>
      <c r="R242" s="797"/>
      <c r="S242" s="790"/>
      <c r="T242" s="790">
        <f>Q242+R242+S242</f>
        <v>133120</v>
      </c>
      <c r="U242" s="718">
        <f>+G242-N242</f>
        <v>0</v>
      </c>
      <c r="V242" s="719">
        <f t="shared" si="88"/>
        <v>0</v>
      </c>
      <c r="W242" s="718">
        <f t="shared" si="88"/>
        <v>0</v>
      </c>
      <c r="X242" s="719">
        <f t="shared" si="88"/>
        <v>0</v>
      </c>
      <c r="Y242" s="719">
        <f t="shared" si="84"/>
        <v>0</v>
      </c>
      <c r="Z242" s="790">
        <v>1</v>
      </c>
      <c r="AA242" s="791" t="s">
        <v>1</v>
      </c>
      <c r="AB242" s="795">
        <v>1.6</v>
      </c>
      <c r="AC242" s="790">
        <f>AB242*I260</f>
        <v>133120</v>
      </c>
      <c r="AD242" s="797"/>
      <c r="AE242" s="790"/>
      <c r="AF242" s="790">
        <f>AC242+AD242+AE242</f>
        <v>133120</v>
      </c>
      <c r="AG242" s="790">
        <v>1</v>
      </c>
      <c r="AH242" s="791" t="s">
        <v>1</v>
      </c>
      <c r="AI242" s="795">
        <v>1.6</v>
      </c>
      <c r="AJ242" s="790">
        <f>AI242*I260</f>
        <v>133120</v>
      </c>
      <c r="AK242" s="797"/>
      <c r="AL242" s="790"/>
      <c r="AM242" s="790">
        <f>AJ242+AK242+AL242</f>
        <v>133120</v>
      </c>
    </row>
    <row r="243" spans="1:39" ht="18" customHeight="1">
      <c r="A243" s="826">
        <v>149</v>
      </c>
      <c r="B243" s="720" t="s">
        <v>787</v>
      </c>
      <c r="C243" s="790" t="s">
        <v>697</v>
      </c>
      <c r="D243" s="719">
        <v>1959</v>
      </c>
      <c r="E243" s="718" t="s">
        <v>766</v>
      </c>
      <c r="F243" s="718" t="s">
        <v>1</v>
      </c>
      <c r="G243" s="719">
        <v>1</v>
      </c>
      <c r="H243" s="791" t="s">
        <v>1</v>
      </c>
      <c r="I243" s="795">
        <v>1.6</v>
      </c>
      <c r="J243" s="790">
        <f>I243*I260</f>
        <v>133120</v>
      </c>
      <c r="K243" s="797"/>
      <c r="L243" s="790"/>
      <c r="M243" s="719">
        <f>SUM(J243:L243)</f>
        <v>133120</v>
      </c>
      <c r="N243" s="790">
        <v>1</v>
      </c>
      <c r="O243" s="791" t="s">
        <v>1</v>
      </c>
      <c r="P243" s="795">
        <v>1.6</v>
      </c>
      <c r="Q243" s="790">
        <f>P243*83200</f>
        <v>133120</v>
      </c>
      <c r="R243" s="797"/>
      <c r="S243" s="790"/>
      <c r="T243" s="790">
        <f>Q243+R243+S243</f>
        <v>133120</v>
      </c>
      <c r="U243" s="718">
        <f>+G243-N243</f>
        <v>0</v>
      </c>
      <c r="V243" s="719">
        <f t="shared" si="88"/>
        <v>0</v>
      </c>
      <c r="W243" s="718">
        <f t="shared" si="88"/>
        <v>0</v>
      </c>
      <c r="X243" s="719">
        <f t="shared" si="88"/>
        <v>0</v>
      </c>
      <c r="Y243" s="719">
        <f t="shared" si="84"/>
        <v>0</v>
      </c>
      <c r="Z243" s="790">
        <v>1</v>
      </c>
      <c r="AA243" s="791" t="s">
        <v>1</v>
      </c>
      <c r="AB243" s="795">
        <v>1.6</v>
      </c>
      <c r="AC243" s="790">
        <f>AB243*I260</f>
        <v>133120</v>
      </c>
      <c r="AD243" s="797"/>
      <c r="AE243" s="790"/>
      <c r="AF243" s="790">
        <f>AC243+AD243+AE243</f>
        <v>133120</v>
      </c>
      <c r="AG243" s="790">
        <v>1</v>
      </c>
      <c r="AH243" s="791" t="s">
        <v>1</v>
      </c>
      <c r="AI243" s="795">
        <v>1.6</v>
      </c>
      <c r="AJ243" s="790">
        <f>AI243*I260</f>
        <v>133120</v>
      </c>
      <c r="AK243" s="797"/>
      <c r="AL243" s="790"/>
      <c r="AM243" s="790">
        <f>AJ243+AK243+AL243</f>
        <v>133120</v>
      </c>
    </row>
    <row r="244" spans="1:39" ht="18" customHeight="1">
      <c r="A244" s="826">
        <v>150</v>
      </c>
      <c r="B244" s="720" t="s">
        <v>1434</v>
      </c>
      <c r="C244" s="790" t="s">
        <v>697</v>
      </c>
      <c r="D244" s="719">
        <v>1974</v>
      </c>
      <c r="E244" s="718" t="s">
        <v>766</v>
      </c>
      <c r="F244" s="718" t="s">
        <v>1</v>
      </c>
      <c r="G244" s="719">
        <v>1</v>
      </c>
      <c r="H244" s="791" t="s">
        <v>1</v>
      </c>
      <c r="I244" s="795">
        <v>1.6</v>
      </c>
      <c r="J244" s="790">
        <f>I244*I260</f>
        <v>133120</v>
      </c>
      <c r="K244" s="797"/>
      <c r="L244" s="790"/>
      <c r="M244" s="719">
        <f t="shared" si="80"/>
        <v>133120</v>
      </c>
      <c r="N244" s="790">
        <v>1</v>
      </c>
      <c r="O244" s="791" t="s">
        <v>1</v>
      </c>
      <c r="P244" s="795">
        <v>1.6</v>
      </c>
      <c r="Q244" s="790">
        <f t="shared" si="81"/>
        <v>133120</v>
      </c>
      <c r="R244" s="797"/>
      <c r="S244" s="790"/>
      <c r="T244" s="790">
        <f t="shared" si="82"/>
        <v>133120</v>
      </c>
      <c r="U244" s="718">
        <f t="shared" si="83"/>
        <v>0</v>
      </c>
      <c r="V244" s="719">
        <f t="shared" si="88"/>
        <v>0</v>
      </c>
      <c r="W244" s="718">
        <f t="shared" si="88"/>
        <v>0</v>
      </c>
      <c r="X244" s="719">
        <f t="shared" si="88"/>
        <v>0</v>
      </c>
      <c r="Y244" s="719">
        <f t="shared" si="84"/>
        <v>0</v>
      </c>
      <c r="Z244" s="790">
        <v>1</v>
      </c>
      <c r="AA244" s="791" t="s">
        <v>1</v>
      </c>
      <c r="AB244" s="795">
        <v>1.6</v>
      </c>
      <c r="AC244" s="790">
        <f>AB244*I260</f>
        <v>133120</v>
      </c>
      <c r="AD244" s="797"/>
      <c r="AE244" s="790"/>
      <c r="AF244" s="790">
        <f t="shared" si="85"/>
        <v>133120</v>
      </c>
      <c r="AG244" s="790">
        <v>1</v>
      </c>
      <c r="AH244" s="791" t="s">
        <v>1</v>
      </c>
      <c r="AI244" s="795">
        <v>1.6</v>
      </c>
      <c r="AJ244" s="790">
        <f>AI244*I260</f>
        <v>133120</v>
      </c>
      <c r="AK244" s="797"/>
      <c r="AL244" s="790"/>
      <c r="AM244" s="790">
        <f t="shared" si="86"/>
        <v>133120</v>
      </c>
    </row>
    <row r="245" spans="1:39" ht="18" customHeight="1">
      <c r="A245" s="826">
        <v>151</v>
      </c>
      <c r="B245" s="720"/>
      <c r="C245" s="790"/>
      <c r="D245" s="719"/>
      <c r="E245" s="718" t="s">
        <v>766</v>
      </c>
      <c r="F245" s="718" t="s">
        <v>1</v>
      </c>
      <c r="G245" s="719">
        <v>1</v>
      </c>
      <c r="H245" s="791" t="s">
        <v>1</v>
      </c>
      <c r="I245" s="795">
        <v>1.6</v>
      </c>
      <c r="J245" s="790">
        <f>I245*I260</f>
        <v>133120</v>
      </c>
      <c r="K245" s="797"/>
      <c r="L245" s="790"/>
      <c r="M245" s="719">
        <f t="shared" si="80"/>
        <v>133120</v>
      </c>
      <c r="N245" s="790">
        <v>1</v>
      </c>
      <c r="O245" s="791" t="s">
        <v>1</v>
      </c>
      <c r="P245" s="795">
        <v>1.6</v>
      </c>
      <c r="Q245" s="790">
        <f t="shared" si="81"/>
        <v>133120</v>
      </c>
      <c r="R245" s="797"/>
      <c r="S245" s="790"/>
      <c r="T245" s="790">
        <f t="shared" si="82"/>
        <v>133120</v>
      </c>
      <c r="U245" s="718">
        <f t="shared" si="83"/>
        <v>0</v>
      </c>
      <c r="V245" s="719">
        <f t="shared" si="88"/>
        <v>0</v>
      </c>
      <c r="W245" s="718">
        <f t="shared" si="88"/>
        <v>0</v>
      </c>
      <c r="X245" s="719">
        <f t="shared" si="88"/>
        <v>0</v>
      </c>
      <c r="Y245" s="719">
        <f>M245-T245</f>
        <v>0</v>
      </c>
      <c r="Z245" s="790">
        <v>1</v>
      </c>
      <c r="AA245" s="791" t="s">
        <v>1</v>
      </c>
      <c r="AB245" s="795">
        <v>1.6</v>
      </c>
      <c r="AC245" s="790">
        <f>AB245*I260</f>
        <v>133120</v>
      </c>
      <c r="AD245" s="797"/>
      <c r="AE245" s="790"/>
      <c r="AF245" s="790">
        <f t="shared" si="85"/>
        <v>133120</v>
      </c>
      <c r="AG245" s="790">
        <v>1</v>
      </c>
      <c r="AH245" s="791" t="s">
        <v>1</v>
      </c>
      <c r="AI245" s="795">
        <v>1.6</v>
      </c>
      <c r="AJ245" s="790">
        <f>AI245*I260</f>
        <v>133120</v>
      </c>
      <c r="AK245" s="797"/>
      <c r="AL245" s="790"/>
      <c r="AM245" s="790">
        <f t="shared" si="86"/>
        <v>133120</v>
      </c>
    </row>
    <row r="246" spans="1:39" ht="18" customHeight="1">
      <c r="A246" s="826">
        <v>152</v>
      </c>
      <c r="B246" s="720" t="s">
        <v>1435</v>
      </c>
      <c r="C246" s="790" t="s">
        <v>697</v>
      </c>
      <c r="D246" s="719">
        <v>1972</v>
      </c>
      <c r="E246" s="718" t="s">
        <v>1436</v>
      </c>
      <c r="F246" s="718" t="s">
        <v>1</v>
      </c>
      <c r="G246" s="719">
        <v>1</v>
      </c>
      <c r="H246" s="791" t="s">
        <v>1</v>
      </c>
      <c r="I246" s="795">
        <v>1</v>
      </c>
      <c r="J246" s="790">
        <v>95625</v>
      </c>
      <c r="K246" s="797"/>
      <c r="L246" s="790"/>
      <c r="M246" s="719">
        <f t="shared" si="80"/>
        <v>95625</v>
      </c>
      <c r="N246" s="790">
        <v>1</v>
      </c>
      <c r="O246" s="791" t="s">
        <v>1</v>
      </c>
      <c r="P246" s="795">
        <v>1</v>
      </c>
      <c r="Q246" s="790">
        <v>95625</v>
      </c>
      <c r="R246" s="797"/>
      <c r="S246" s="790"/>
      <c r="T246" s="790">
        <f t="shared" si="82"/>
        <v>95625</v>
      </c>
      <c r="U246" s="718">
        <f>+G246-N246</f>
        <v>0</v>
      </c>
      <c r="V246" s="719">
        <f t="shared" si="88"/>
        <v>0</v>
      </c>
      <c r="W246" s="718">
        <f t="shared" si="88"/>
        <v>0</v>
      </c>
      <c r="X246" s="719">
        <f t="shared" si="88"/>
        <v>0</v>
      </c>
      <c r="Y246" s="719">
        <f>M246-T246</f>
        <v>0</v>
      </c>
      <c r="Z246" s="790">
        <v>1</v>
      </c>
      <c r="AA246" s="791" t="s">
        <v>1</v>
      </c>
      <c r="AB246" s="795">
        <v>1</v>
      </c>
      <c r="AC246" s="790">
        <v>95625</v>
      </c>
      <c r="AD246" s="797"/>
      <c r="AE246" s="790"/>
      <c r="AF246" s="790">
        <f t="shared" si="85"/>
        <v>95625</v>
      </c>
      <c r="AG246" s="790">
        <v>1</v>
      </c>
      <c r="AH246" s="791" t="s">
        <v>1</v>
      </c>
      <c r="AI246" s="795">
        <v>1</v>
      </c>
      <c r="AJ246" s="790">
        <v>95625</v>
      </c>
      <c r="AK246" s="797"/>
      <c r="AL246" s="790"/>
      <c r="AM246" s="790">
        <f t="shared" si="86"/>
        <v>95625</v>
      </c>
    </row>
    <row r="247" spans="1:39" ht="18" customHeight="1">
      <c r="A247" s="826">
        <v>153</v>
      </c>
      <c r="B247" s="720" t="s">
        <v>786</v>
      </c>
      <c r="C247" s="790" t="s">
        <v>703</v>
      </c>
      <c r="D247" s="719">
        <v>1968</v>
      </c>
      <c r="E247" s="718" t="s">
        <v>792</v>
      </c>
      <c r="F247" s="718" t="s">
        <v>1</v>
      </c>
      <c r="G247" s="719">
        <v>1</v>
      </c>
      <c r="H247" s="791" t="s">
        <v>1</v>
      </c>
      <c r="I247" s="795">
        <v>1.5</v>
      </c>
      <c r="J247" s="790">
        <f>I247*I260</f>
        <v>124800</v>
      </c>
      <c r="K247" s="797"/>
      <c r="L247" s="790"/>
      <c r="M247" s="790">
        <f t="shared" si="80"/>
        <v>124800</v>
      </c>
      <c r="N247" s="790">
        <v>1</v>
      </c>
      <c r="O247" s="791" t="s">
        <v>1</v>
      </c>
      <c r="P247" s="795">
        <v>1.5</v>
      </c>
      <c r="Q247" s="790">
        <f t="shared" si="81"/>
        <v>124800</v>
      </c>
      <c r="R247" s="797"/>
      <c r="S247" s="790"/>
      <c r="T247" s="790">
        <f t="shared" si="82"/>
        <v>124800</v>
      </c>
      <c r="U247" s="718">
        <f t="shared" si="83"/>
        <v>0</v>
      </c>
      <c r="V247" s="719">
        <f t="shared" si="88"/>
        <v>0</v>
      </c>
      <c r="W247" s="718">
        <f t="shared" si="88"/>
        <v>0</v>
      </c>
      <c r="X247" s="719">
        <f t="shared" si="88"/>
        <v>0</v>
      </c>
      <c r="Y247" s="719">
        <f>M247-T247</f>
        <v>0</v>
      </c>
      <c r="Z247" s="790">
        <v>1</v>
      </c>
      <c r="AA247" s="791" t="s">
        <v>1</v>
      </c>
      <c r="AB247" s="795">
        <v>1.5</v>
      </c>
      <c r="AC247" s="790">
        <f>AB247*I260</f>
        <v>124800</v>
      </c>
      <c r="AD247" s="797"/>
      <c r="AE247" s="790"/>
      <c r="AF247" s="790">
        <f t="shared" si="85"/>
        <v>124800</v>
      </c>
      <c r="AG247" s="790">
        <v>1</v>
      </c>
      <c r="AH247" s="791" t="s">
        <v>1</v>
      </c>
      <c r="AI247" s="795">
        <v>1.5</v>
      </c>
      <c r="AJ247" s="790">
        <f>AI247*I260</f>
        <v>124800</v>
      </c>
      <c r="AK247" s="797"/>
      <c r="AL247" s="790"/>
      <c r="AM247" s="790">
        <f t="shared" si="86"/>
        <v>124800</v>
      </c>
    </row>
    <row r="248" spans="1:39" ht="18" customHeight="1">
      <c r="A248" s="826">
        <v>154</v>
      </c>
      <c r="B248" s="720" t="s">
        <v>769</v>
      </c>
      <c r="C248" s="790" t="s">
        <v>703</v>
      </c>
      <c r="D248" s="719">
        <v>1969</v>
      </c>
      <c r="E248" s="718" t="s">
        <v>793</v>
      </c>
      <c r="F248" s="718" t="s">
        <v>1</v>
      </c>
      <c r="G248" s="719">
        <v>1</v>
      </c>
      <c r="H248" s="791" t="s">
        <v>1</v>
      </c>
      <c r="I248" s="795">
        <v>1</v>
      </c>
      <c r="J248" s="790">
        <v>95625</v>
      </c>
      <c r="K248" s="797"/>
      <c r="L248" s="795"/>
      <c r="M248" s="790">
        <f t="shared" si="80"/>
        <v>95625</v>
      </c>
      <c r="N248" s="790">
        <v>1</v>
      </c>
      <c r="O248" s="791" t="s">
        <v>1</v>
      </c>
      <c r="P248" s="795">
        <v>1</v>
      </c>
      <c r="Q248" s="790">
        <v>95625</v>
      </c>
      <c r="R248" s="797"/>
      <c r="S248" s="790"/>
      <c r="T248" s="790">
        <f t="shared" si="82"/>
        <v>95625</v>
      </c>
      <c r="U248" s="718">
        <f t="shared" si="83"/>
        <v>0</v>
      </c>
      <c r="V248" s="719">
        <f t="shared" si="88"/>
        <v>0</v>
      </c>
      <c r="W248" s="718">
        <f t="shared" si="88"/>
        <v>0</v>
      </c>
      <c r="X248" s="719">
        <f t="shared" si="88"/>
        <v>0</v>
      </c>
      <c r="Y248" s="719">
        <f>M248-T248</f>
        <v>0</v>
      </c>
      <c r="Z248" s="790">
        <v>1</v>
      </c>
      <c r="AA248" s="791" t="s">
        <v>1</v>
      </c>
      <c r="AB248" s="795">
        <v>1</v>
      </c>
      <c r="AC248" s="790">
        <v>95625</v>
      </c>
      <c r="AD248" s="797"/>
      <c r="AE248" s="790"/>
      <c r="AF248" s="790">
        <f t="shared" si="85"/>
        <v>95625</v>
      </c>
      <c r="AG248" s="790">
        <v>1</v>
      </c>
      <c r="AH248" s="791" t="s">
        <v>1</v>
      </c>
      <c r="AI248" s="795">
        <v>1</v>
      </c>
      <c r="AJ248" s="790">
        <v>95625</v>
      </c>
      <c r="AK248" s="797"/>
      <c r="AL248" s="790"/>
      <c r="AM248" s="790">
        <f t="shared" si="86"/>
        <v>95625</v>
      </c>
    </row>
    <row r="249" spans="1:39" ht="18" customHeight="1">
      <c r="A249" s="826">
        <v>155</v>
      </c>
      <c r="B249" s="720" t="s">
        <v>770</v>
      </c>
      <c r="C249" s="790" t="s">
        <v>703</v>
      </c>
      <c r="D249" s="719">
        <v>1960</v>
      </c>
      <c r="E249" s="718" t="s">
        <v>793</v>
      </c>
      <c r="F249" s="718" t="s">
        <v>1</v>
      </c>
      <c r="G249" s="719">
        <v>1</v>
      </c>
      <c r="H249" s="791" t="s">
        <v>1</v>
      </c>
      <c r="I249" s="795">
        <v>1</v>
      </c>
      <c r="J249" s="790">
        <v>95625</v>
      </c>
      <c r="K249" s="797"/>
      <c r="L249" s="795"/>
      <c r="M249" s="790">
        <f t="shared" si="80"/>
        <v>95625</v>
      </c>
      <c r="N249" s="790">
        <v>1</v>
      </c>
      <c r="O249" s="791" t="s">
        <v>1</v>
      </c>
      <c r="P249" s="795">
        <v>1</v>
      </c>
      <c r="Q249" s="790">
        <v>95625</v>
      </c>
      <c r="R249" s="797"/>
      <c r="S249" s="790"/>
      <c r="T249" s="790">
        <f t="shared" si="82"/>
        <v>95625</v>
      </c>
      <c r="U249" s="718">
        <f t="shared" si="83"/>
        <v>0</v>
      </c>
      <c r="V249" s="719">
        <f t="shared" si="88"/>
        <v>0</v>
      </c>
      <c r="W249" s="718">
        <f t="shared" si="88"/>
        <v>0</v>
      </c>
      <c r="X249" s="719">
        <f t="shared" si="88"/>
        <v>0</v>
      </c>
      <c r="Y249" s="719">
        <f>M249-T249</f>
        <v>0</v>
      </c>
      <c r="Z249" s="790">
        <v>1</v>
      </c>
      <c r="AA249" s="791" t="s">
        <v>1</v>
      </c>
      <c r="AB249" s="795">
        <v>1</v>
      </c>
      <c r="AC249" s="790">
        <v>95625</v>
      </c>
      <c r="AD249" s="797"/>
      <c r="AE249" s="790"/>
      <c r="AF249" s="790">
        <f t="shared" si="85"/>
        <v>95625</v>
      </c>
      <c r="AG249" s="790">
        <v>1</v>
      </c>
      <c r="AH249" s="791" t="s">
        <v>1</v>
      </c>
      <c r="AI249" s="795">
        <v>1</v>
      </c>
      <c r="AJ249" s="790">
        <v>95625</v>
      </c>
      <c r="AK249" s="797"/>
      <c r="AL249" s="790"/>
      <c r="AM249" s="790">
        <f t="shared" si="86"/>
        <v>95625</v>
      </c>
    </row>
    <row r="250" spans="1:39" ht="18" customHeight="1">
      <c r="A250" s="826"/>
      <c r="B250" s="720"/>
      <c r="C250" s="790"/>
      <c r="D250" s="719"/>
      <c r="E250" s="718"/>
      <c r="F250" s="718"/>
      <c r="G250" s="719"/>
      <c r="H250" s="791"/>
      <c r="I250" s="795"/>
      <c r="J250" s="790"/>
      <c r="K250" s="797"/>
      <c r="L250" s="795"/>
      <c r="M250" s="790"/>
      <c r="N250" s="790"/>
      <c r="O250" s="791"/>
      <c r="P250" s="795"/>
      <c r="Q250" s="790"/>
      <c r="R250" s="797"/>
      <c r="S250" s="790"/>
      <c r="T250" s="790"/>
      <c r="U250" s="718"/>
      <c r="V250" s="719"/>
      <c r="W250" s="718"/>
      <c r="X250" s="719"/>
      <c r="Y250" s="719"/>
      <c r="Z250" s="790"/>
      <c r="AA250" s="791"/>
      <c r="AB250" s="795"/>
      <c r="AC250" s="790"/>
      <c r="AD250" s="797"/>
      <c r="AE250" s="790"/>
      <c r="AF250" s="790"/>
      <c r="AG250" s="790"/>
      <c r="AH250" s="791"/>
      <c r="AI250" s="795"/>
      <c r="AJ250" s="790"/>
      <c r="AK250" s="797"/>
      <c r="AL250" s="790"/>
      <c r="AM250" s="790"/>
    </row>
    <row r="251" spans="1:39" ht="18" customHeight="1">
      <c r="A251" s="826"/>
      <c r="B251" s="877" t="s">
        <v>62</v>
      </c>
      <c r="C251" s="790"/>
      <c r="D251" s="719"/>
      <c r="E251" s="718"/>
      <c r="F251" s="718"/>
      <c r="G251" s="814">
        <f>SUM(G237:G250)</f>
        <v>13</v>
      </c>
      <c r="H251" s="816"/>
      <c r="I251" s="817"/>
      <c r="J251" s="814">
        <f>SUM(J237:J250)</f>
        <v>1609755</v>
      </c>
      <c r="K251" s="813"/>
      <c r="L251" s="817"/>
      <c r="M251" s="814">
        <f>SUM(M237:M250)</f>
        <v>1609755</v>
      </c>
      <c r="N251" s="814">
        <f>SUM(N237:N250)</f>
        <v>13</v>
      </c>
      <c r="O251" s="816"/>
      <c r="P251" s="817"/>
      <c r="Q251" s="814">
        <f>SUM(Q237:Q250)</f>
        <v>1609755</v>
      </c>
      <c r="R251" s="813"/>
      <c r="S251" s="792"/>
      <c r="T251" s="814">
        <f aca="true" t="shared" si="89" ref="T251:Z251">SUM(T237:T250)</f>
        <v>1609755</v>
      </c>
      <c r="U251" s="814">
        <f t="shared" si="89"/>
        <v>0</v>
      </c>
      <c r="V251" s="814">
        <f t="shared" si="89"/>
        <v>0</v>
      </c>
      <c r="W251" s="814">
        <f t="shared" si="89"/>
        <v>0</v>
      </c>
      <c r="X251" s="814">
        <f t="shared" si="89"/>
        <v>0</v>
      </c>
      <c r="Y251" s="814">
        <f t="shared" si="89"/>
        <v>0</v>
      </c>
      <c r="Z251" s="814">
        <f t="shared" si="89"/>
        <v>13</v>
      </c>
      <c r="AA251" s="816"/>
      <c r="AB251" s="817"/>
      <c r="AC251" s="814">
        <f>SUM(AC237:AC250)</f>
        <v>1609755</v>
      </c>
      <c r="AD251" s="813"/>
      <c r="AE251" s="792"/>
      <c r="AF251" s="814">
        <f>SUM(AF237:AF250)</f>
        <v>1609755</v>
      </c>
      <c r="AG251" s="814">
        <f>SUM(AG237:AG250)</f>
        <v>13</v>
      </c>
      <c r="AH251" s="816"/>
      <c r="AI251" s="817"/>
      <c r="AJ251" s="814">
        <f>SUM(AJ237:AJ250)</f>
        <v>1609755</v>
      </c>
      <c r="AK251" s="813"/>
      <c r="AL251" s="792"/>
      <c r="AM251" s="814">
        <f>SUM(AM237:AM250)</f>
        <v>1609755</v>
      </c>
    </row>
    <row r="252" spans="1:39" s="881" customFormat="1" ht="18" customHeight="1">
      <c r="A252" s="878"/>
      <c r="B252" s="873" t="s">
        <v>1437</v>
      </c>
      <c r="C252" s="879"/>
      <c r="D252" s="880"/>
      <c r="E252" s="874"/>
      <c r="F252" s="874"/>
      <c r="G252" s="803">
        <f>G235+G251</f>
        <v>15</v>
      </c>
      <c r="H252" s="805"/>
      <c r="I252" s="806"/>
      <c r="J252" s="803">
        <f>J235+J251</f>
        <v>2129755</v>
      </c>
      <c r="K252" s="802"/>
      <c r="L252" s="806"/>
      <c r="M252" s="803">
        <f>M235+M251</f>
        <v>2129755</v>
      </c>
      <c r="N252" s="803">
        <f>N235+N251</f>
        <v>15</v>
      </c>
      <c r="O252" s="805"/>
      <c r="P252" s="806"/>
      <c r="Q252" s="803">
        <f>Q235+Q251</f>
        <v>2129755</v>
      </c>
      <c r="R252" s="802"/>
      <c r="S252" s="801"/>
      <c r="T252" s="803">
        <f aca="true" t="shared" si="90" ref="T252:Z252">T235+T251</f>
        <v>2129755</v>
      </c>
      <c r="U252" s="803">
        <f t="shared" si="90"/>
        <v>0</v>
      </c>
      <c r="V252" s="803">
        <f t="shared" si="90"/>
        <v>0</v>
      </c>
      <c r="W252" s="803">
        <f t="shared" si="90"/>
        <v>0</v>
      </c>
      <c r="X252" s="803">
        <f t="shared" si="90"/>
        <v>0</v>
      </c>
      <c r="Y252" s="803">
        <f t="shared" si="90"/>
        <v>0</v>
      </c>
      <c r="Z252" s="803">
        <f t="shared" si="90"/>
        <v>15</v>
      </c>
      <c r="AA252" s="805"/>
      <c r="AB252" s="806"/>
      <c r="AC252" s="803">
        <f>AC235+AC251</f>
        <v>2129755</v>
      </c>
      <c r="AD252" s="802"/>
      <c r="AE252" s="801"/>
      <c r="AF252" s="803">
        <f>AF235+AF251</f>
        <v>2129755</v>
      </c>
      <c r="AG252" s="803">
        <f>AG235+AG251</f>
        <v>15</v>
      </c>
      <c r="AH252" s="805"/>
      <c r="AI252" s="806"/>
      <c r="AJ252" s="803">
        <f>AJ235+AJ251</f>
        <v>2129755</v>
      </c>
      <c r="AK252" s="802"/>
      <c r="AL252" s="801"/>
      <c r="AM252" s="803">
        <f>AM235+AM251</f>
        <v>2129755</v>
      </c>
    </row>
    <row r="253" spans="1:39" ht="18" customHeight="1">
      <c r="A253" s="790"/>
      <c r="B253" s="797"/>
      <c r="C253" s="797"/>
      <c r="D253" s="719"/>
      <c r="E253" s="718"/>
      <c r="F253" s="718"/>
      <c r="G253" s="719"/>
      <c r="H253" s="791"/>
      <c r="I253" s="795"/>
      <c r="J253" s="718"/>
      <c r="K253" s="718"/>
      <c r="L253" s="718"/>
      <c r="M253" s="718"/>
      <c r="N253" s="790"/>
      <c r="O253" s="791"/>
      <c r="P253" s="795"/>
      <c r="Q253" s="718"/>
      <c r="R253" s="718"/>
      <c r="S253" s="718"/>
      <c r="T253" s="718"/>
      <c r="U253" s="718"/>
      <c r="V253" s="719"/>
      <c r="W253" s="718"/>
      <c r="X253" s="719"/>
      <c r="Y253" s="719"/>
      <c r="Z253" s="790"/>
      <c r="AA253" s="791"/>
      <c r="AB253" s="718"/>
      <c r="AC253" s="718"/>
      <c r="AD253" s="718"/>
      <c r="AE253" s="718"/>
      <c r="AF253" s="718"/>
      <c r="AG253" s="790"/>
      <c r="AH253" s="791"/>
      <c r="AI253" s="718"/>
      <c r="AJ253" s="718"/>
      <c r="AK253" s="718"/>
      <c r="AL253" s="718"/>
      <c r="AM253" s="718"/>
    </row>
    <row r="254" spans="1:39" s="740" customFormat="1" ht="18" customHeight="1">
      <c r="A254" s="792"/>
      <c r="B254" s="793" t="s">
        <v>138</v>
      </c>
      <c r="C254" s="793"/>
      <c r="D254" s="814" t="s">
        <v>1</v>
      </c>
      <c r="E254" s="815" t="s">
        <v>1</v>
      </c>
      <c r="F254" s="815" t="s">
        <v>1</v>
      </c>
      <c r="G254" s="814">
        <f>G19+G38+G227+G252</f>
        <v>155</v>
      </c>
      <c r="H254" s="816" t="s">
        <v>1</v>
      </c>
      <c r="I254" s="817" t="s">
        <v>1</v>
      </c>
      <c r="J254" s="814">
        <f>J19+J38+J227+J252</f>
        <v>54338845</v>
      </c>
      <c r="K254" s="814">
        <f>K19+K38+K227+K252</f>
        <v>64521.6</v>
      </c>
      <c r="L254" s="814">
        <f>L19+L38+L227+L252</f>
        <v>529456.1000000001</v>
      </c>
      <c r="M254" s="814">
        <f>M19+M38+M227+M252</f>
        <v>54932822.699999996</v>
      </c>
      <c r="N254" s="814">
        <f>N19+N38+N227+N252</f>
        <v>155</v>
      </c>
      <c r="O254" s="816" t="s">
        <v>1</v>
      </c>
      <c r="P254" s="817" t="s">
        <v>1</v>
      </c>
      <c r="Q254" s="814">
        <f>Q19+Q38+Q227+Q252</f>
        <v>54080505</v>
      </c>
      <c r="R254" s="882"/>
      <c r="S254" s="882"/>
      <c r="T254" s="814">
        <f aca="true" t="shared" si="91" ref="T254:Z254">T19+T38+T227+T252</f>
        <v>54674420.1</v>
      </c>
      <c r="U254" s="814">
        <f t="shared" si="91"/>
        <v>0</v>
      </c>
      <c r="V254" s="814">
        <f t="shared" si="91"/>
        <v>258339.99999999988</v>
      </c>
      <c r="W254" s="814">
        <f t="shared" si="91"/>
        <v>0</v>
      </c>
      <c r="X254" s="814">
        <f t="shared" si="91"/>
        <v>62.599999999998545</v>
      </c>
      <c r="Y254" s="814">
        <f t="shared" si="91"/>
        <v>258402.59999999986</v>
      </c>
      <c r="Z254" s="814">
        <f t="shared" si="91"/>
        <v>155</v>
      </c>
      <c r="AA254" s="816" t="s">
        <v>1</v>
      </c>
      <c r="AB254" s="814" t="s">
        <v>1</v>
      </c>
      <c r="AC254" s="814">
        <f>AC19+AC38+AC227+AC252</f>
        <v>54600093</v>
      </c>
      <c r="AD254" s="814"/>
      <c r="AE254" s="814"/>
      <c r="AF254" s="814">
        <f>AF19+AF38+AF227+AF252</f>
        <v>55194569.9</v>
      </c>
      <c r="AG254" s="814">
        <f>AG19+AG38+AG227+AG252</f>
        <v>155</v>
      </c>
      <c r="AH254" s="816" t="s">
        <v>1</v>
      </c>
      <c r="AI254" s="814" t="s">
        <v>1</v>
      </c>
      <c r="AJ254" s="814">
        <f>AJ19+AJ38+AJ227+AJ252</f>
        <v>54868829</v>
      </c>
      <c r="AK254" s="814"/>
      <c r="AL254" s="814"/>
      <c r="AM254" s="814">
        <f>AM19+AM38+AM227+AM252</f>
        <v>55470461.1</v>
      </c>
    </row>
    <row r="255" spans="2:39" ht="18" customHeight="1">
      <c r="B255" s="755"/>
      <c r="C255" s="755"/>
      <c r="D255" s="723"/>
      <c r="E255" s="883"/>
      <c r="F255" s="726"/>
      <c r="G255" s="731"/>
      <c r="H255" s="727"/>
      <c r="I255" s="728"/>
      <c r="K255" s="726"/>
      <c r="N255" s="755"/>
      <c r="R255" s="726"/>
      <c r="U255" s="726"/>
      <c r="V255" s="723"/>
      <c r="W255" s="726"/>
      <c r="X255" s="723"/>
      <c r="Y255" s="723"/>
      <c r="Z255" s="755"/>
      <c r="AG255" s="755"/>
      <c r="AH255" s="727"/>
      <c r="AI255" s="726"/>
      <c r="AJ255" s="726"/>
      <c r="AK255" s="726"/>
      <c r="AL255" s="726"/>
      <c r="AM255" s="726"/>
    </row>
    <row r="256" ht="18" customHeight="1"/>
    <row r="257" ht="18" customHeight="1">
      <c r="B257" s="721" t="s">
        <v>134</v>
      </c>
    </row>
    <row r="258" spans="2:35" ht="18" customHeight="1">
      <c r="B258" s="729" t="s">
        <v>215</v>
      </c>
      <c r="C258" s="729"/>
      <c r="D258" s="730"/>
      <c r="E258" s="729"/>
      <c r="F258" s="729"/>
      <c r="G258" s="731"/>
      <c r="H258" s="732"/>
      <c r="I258" s="733"/>
      <c r="O258" s="734"/>
      <c r="P258" s="735"/>
      <c r="Z258" s="755"/>
      <c r="AA258" s="734"/>
      <c r="AB258" s="755"/>
      <c r="AG258" s="729"/>
      <c r="AH258" s="732"/>
      <c r="AI258" s="729"/>
    </row>
    <row r="259" spans="2:17" ht="38.25" customHeight="1">
      <c r="B259" s="1153" t="s">
        <v>214</v>
      </c>
      <c r="C259" s="1153"/>
      <c r="D259" s="1153"/>
      <c r="E259" s="1153"/>
      <c r="F259" s="1153"/>
      <c r="G259" s="1153"/>
      <c r="H259" s="1153"/>
      <c r="I259" s="1153"/>
      <c r="J259" s="1153"/>
      <c r="K259" s="1153"/>
      <c r="L259" s="1153"/>
      <c r="M259" s="1153"/>
      <c r="N259" s="1153"/>
      <c r="O259" s="1153"/>
      <c r="P259" s="1153"/>
      <c r="Q259" s="1153"/>
    </row>
    <row r="260" spans="2:35" ht="22.5">
      <c r="B260" s="736" t="s">
        <v>1438</v>
      </c>
      <c r="C260" s="736"/>
      <c r="D260" s="730"/>
      <c r="E260" s="729"/>
      <c r="F260" s="729"/>
      <c r="G260" s="731"/>
      <c r="H260" s="732"/>
      <c r="I260" s="737">
        <v>83200</v>
      </c>
      <c r="J260" s="738" t="s">
        <v>1439</v>
      </c>
      <c r="K260" s="738"/>
      <c r="L260" s="738"/>
      <c r="M260" s="738"/>
      <c r="N260" s="738"/>
      <c r="O260" s="739"/>
      <c r="P260" s="738"/>
      <c r="Q260" s="738"/>
      <c r="R260" s="738"/>
      <c r="S260" s="738"/>
      <c r="T260" s="738"/>
      <c r="Z260" s="755"/>
      <c r="AA260" s="734"/>
      <c r="AB260" s="755"/>
      <c r="AG260" s="729"/>
      <c r="AH260" s="732"/>
      <c r="AI260" s="729"/>
    </row>
    <row r="261" spans="2:15" ht="33" customHeight="1">
      <c r="B261" s="1028" t="s">
        <v>1440</v>
      </c>
      <c r="C261" s="1028"/>
      <c r="D261" s="1028"/>
      <c r="E261" s="1028"/>
      <c r="F261" s="1028"/>
      <c r="G261" s="1028"/>
      <c r="H261" s="1028"/>
      <c r="I261" s="1028"/>
      <c r="J261" s="1028"/>
      <c r="K261" s="1028"/>
      <c r="L261" s="1028"/>
      <c r="M261" s="1028"/>
      <c r="N261" s="1028"/>
      <c r="O261" s="1028"/>
    </row>
    <row r="263" ht="17.25">
      <c r="B263" s="721" t="s">
        <v>1441</v>
      </c>
    </row>
    <row r="265" spans="2:15" ht="33.75" customHeight="1">
      <c r="B265" s="1153" t="s">
        <v>1442</v>
      </c>
      <c r="C265" s="1153"/>
      <c r="D265" s="1153"/>
      <c r="E265" s="1153"/>
      <c r="F265" s="1153"/>
      <c r="G265" s="1153"/>
      <c r="H265" s="1153"/>
      <c r="I265" s="1153"/>
      <c r="J265" s="1153"/>
      <c r="K265" s="1153"/>
      <c r="L265" s="1153"/>
      <c r="M265" s="1153"/>
      <c r="N265" s="1153"/>
      <c r="O265" s="1153"/>
    </row>
    <row r="268" spans="1:34" s="740" customFormat="1" ht="44.25" customHeight="1">
      <c r="A268" s="745"/>
      <c r="C268" s="741"/>
      <c r="D268" s="741"/>
      <c r="E268" s="741"/>
      <c r="F268" s="742"/>
      <c r="G268" s="743"/>
      <c r="H268" s="744"/>
      <c r="I268" s="745"/>
      <c r="K268" s="745"/>
      <c r="L268" s="745"/>
      <c r="M268" s="745"/>
      <c r="N268" s="742"/>
      <c r="O268" s="746"/>
      <c r="P268" s="745"/>
      <c r="R268" s="745"/>
      <c r="S268" s="745"/>
      <c r="U268" s="743"/>
      <c r="W268" s="743"/>
      <c r="X268" s="743"/>
      <c r="Y268" s="745"/>
      <c r="Z268" s="742"/>
      <c r="AA268" s="746"/>
      <c r="AB268" s="745"/>
      <c r="AC268" s="745"/>
      <c r="AD268" s="745"/>
      <c r="AE268" s="745"/>
      <c r="AH268" s="744"/>
    </row>
  </sheetData>
  <sheetProtection/>
  <mergeCells count="25">
    <mergeCell ref="B261:O261"/>
    <mergeCell ref="B265:O265"/>
    <mergeCell ref="H157:N157"/>
    <mergeCell ref="G173:P173"/>
    <mergeCell ref="G187:M187"/>
    <mergeCell ref="H188:M188"/>
    <mergeCell ref="G201:N201"/>
    <mergeCell ref="G211:N211"/>
    <mergeCell ref="G219:N219"/>
    <mergeCell ref="B259:Q259"/>
    <mergeCell ref="Z5:AF5"/>
    <mergeCell ref="AG5:AM5"/>
    <mergeCell ref="H54:N54"/>
    <mergeCell ref="H70:N70"/>
    <mergeCell ref="H86:N86"/>
    <mergeCell ref="H104:N104"/>
    <mergeCell ref="H124:N124"/>
    <mergeCell ref="H141:N141"/>
    <mergeCell ref="B3:E3"/>
    <mergeCell ref="U3:Y3"/>
    <mergeCell ref="G4:I4"/>
    <mergeCell ref="B5:B6"/>
    <mergeCell ref="C5:C6"/>
    <mergeCell ref="D5:D6"/>
    <mergeCell ref="U5:Y5"/>
  </mergeCells>
  <printOptions/>
  <pageMargins left="0.16" right="0.17" top="0.17" bottom="0.17" header="0.18" footer="0.17"/>
  <pageSetup horizontalDpi="600" verticalDpi="600" orientation="landscape" paperSize="9" scale="2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39"/>
  <sheetViews>
    <sheetView tabSelected="1" zoomScalePageLayoutView="0" workbookViewId="0" topLeftCell="A22">
      <selection activeCell="A49" sqref="A49:L56"/>
    </sheetView>
  </sheetViews>
  <sheetFormatPr defaultColWidth="9.140625" defaultRowHeight="12.75"/>
  <cols>
    <col min="1" max="1" width="5.7109375" style="919" customWidth="1"/>
    <col min="2" max="2" width="34.140625" style="889" customWidth="1"/>
    <col min="3" max="3" width="11.140625" style="884" customWidth="1"/>
    <col min="4" max="4" width="12.28125" style="884" customWidth="1"/>
    <col min="5" max="5" width="13.57421875" style="884" customWidth="1"/>
    <col min="6" max="6" width="12.28125" style="884" customWidth="1"/>
    <col min="7" max="7" width="11.8515625" style="884" customWidth="1"/>
    <col min="8" max="8" width="15.7109375" style="885" customWidth="1"/>
    <col min="9" max="9" width="16.00390625" style="885" customWidth="1"/>
    <col min="10" max="10" width="11.140625" style="884" customWidth="1"/>
    <col min="11" max="11" width="14.140625" style="884" customWidth="1"/>
    <col min="12" max="12" width="14.28125" style="884" customWidth="1"/>
    <col min="13" max="13" width="10.421875" style="884" customWidth="1"/>
    <col min="14" max="14" width="9.140625" style="884" customWidth="1"/>
    <col min="15" max="15" width="12.8515625" style="884" customWidth="1"/>
    <col min="16" max="16" width="13.8515625" style="885" customWidth="1"/>
    <col min="17" max="17" width="16.00390625" style="885" customWidth="1"/>
    <col min="18" max="19" width="10.7109375" style="884" customWidth="1"/>
    <col min="20" max="20" width="13.00390625" style="884" customWidth="1"/>
    <col min="21" max="21" width="10.7109375" style="884" customWidth="1"/>
    <col min="22" max="22" width="11.421875" style="884" customWidth="1"/>
    <col min="23" max="23" width="12.7109375" style="885" customWidth="1"/>
    <col min="24" max="24" width="16.00390625" style="885" customWidth="1"/>
    <col min="25" max="25" width="12.8515625" style="884" customWidth="1"/>
    <col min="26" max="26" width="12.28125" style="884" customWidth="1"/>
    <col min="27" max="27" width="10.421875" style="884" customWidth="1"/>
    <col min="28" max="28" width="11.140625" style="884" customWidth="1"/>
    <col min="29" max="29" width="13.421875" style="884" customWidth="1"/>
    <col min="30" max="30" width="13.421875" style="885" customWidth="1"/>
    <col min="31" max="31" width="16.00390625" style="885" customWidth="1"/>
    <col min="32" max="32" width="11.140625" style="884" customWidth="1"/>
    <col min="33" max="33" width="13.00390625" style="884" customWidth="1"/>
    <col min="34" max="34" width="10.57421875" style="884" customWidth="1"/>
    <col min="35" max="35" width="11.140625" style="884" customWidth="1"/>
    <col min="36" max="36" width="13.28125" style="884" customWidth="1"/>
    <col min="37" max="37" width="14.140625" style="885" customWidth="1"/>
    <col min="38" max="38" width="17.00390625" style="885" customWidth="1"/>
    <col min="39" max="16384" width="9.140625" style="884" customWidth="1"/>
  </cols>
  <sheetData>
    <row r="1" spans="1:38" s="889" customFormat="1" ht="16.5">
      <c r="A1" s="887"/>
      <c r="B1" s="888" t="s">
        <v>162</v>
      </c>
      <c r="H1" s="890"/>
      <c r="I1" s="890"/>
      <c r="J1" s="887"/>
      <c r="K1" s="887"/>
      <c r="L1" s="525" t="s">
        <v>249</v>
      </c>
      <c r="N1" s="891"/>
      <c r="O1" s="892"/>
      <c r="P1" s="890"/>
      <c r="Q1" s="890"/>
      <c r="R1" s="893"/>
      <c r="S1" s="893"/>
      <c r="T1" s="893"/>
      <c r="U1" s="893"/>
      <c r="V1" s="892"/>
      <c r="W1" s="890"/>
      <c r="X1" s="890"/>
      <c r="Y1" s="892"/>
      <c r="Z1" s="892"/>
      <c r="AA1" s="892"/>
      <c r="AB1" s="892"/>
      <c r="AC1" s="892"/>
      <c r="AD1" s="890"/>
      <c r="AE1" s="890"/>
      <c r="AF1" s="892"/>
      <c r="AG1" s="892"/>
      <c r="AH1" s="892"/>
      <c r="AI1" s="892"/>
      <c r="AJ1" s="892"/>
      <c r="AK1" s="890"/>
      <c r="AL1" s="890"/>
    </row>
    <row r="2" spans="1:38" s="889" customFormat="1" ht="15" thickBot="1">
      <c r="A2" s="887"/>
      <c r="B2" s="1163" t="s">
        <v>816</v>
      </c>
      <c r="C2" s="1163"/>
      <c r="D2" s="894"/>
      <c r="E2" s="894"/>
      <c r="F2" s="894"/>
      <c r="G2" s="894"/>
      <c r="H2" s="895"/>
      <c r="I2" s="895"/>
      <c r="L2" s="390" t="s">
        <v>9</v>
      </c>
      <c r="M2" s="90"/>
      <c r="N2" s="90"/>
      <c r="O2" s="90"/>
      <c r="P2" s="895"/>
      <c r="Q2" s="895"/>
      <c r="R2" s="90"/>
      <c r="S2" s="90"/>
      <c r="T2" s="90"/>
      <c r="U2" s="90"/>
      <c r="V2" s="90"/>
      <c r="W2" s="895"/>
      <c r="X2" s="895"/>
      <c r="Y2" s="896"/>
      <c r="Z2" s="896"/>
      <c r="AA2" s="896"/>
      <c r="AB2" s="896"/>
      <c r="AC2" s="896"/>
      <c r="AD2" s="895"/>
      <c r="AE2" s="895"/>
      <c r="AF2" s="896"/>
      <c r="AG2" s="896"/>
      <c r="AH2" s="896"/>
      <c r="AI2" s="896"/>
      <c r="AJ2" s="896"/>
      <c r="AK2" s="895"/>
      <c r="AL2" s="895"/>
    </row>
    <row r="3" spans="1:38" s="892" customFormat="1" ht="14.25">
      <c r="A3" s="887"/>
      <c r="B3" s="897" t="s">
        <v>10</v>
      </c>
      <c r="C3" s="898"/>
      <c r="D3" s="898"/>
      <c r="E3" s="889"/>
      <c r="F3" s="898"/>
      <c r="G3" s="889"/>
      <c r="H3" s="890"/>
      <c r="I3" s="890"/>
      <c r="J3" s="889"/>
      <c r="K3" s="889"/>
      <c r="M3" s="899"/>
      <c r="N3" s="889"/>
      <c r="O3" s="889"/>
      <c r="P3" s="890"/>
      <c r="Q3" s="890"/>
      <c r="V3" s="899"/>
      <c r="W3" s="890"/>
      <c r="X3" s="890"/>
      <c r="Y3" s="898"/>
      <c r="Z3" s="898"/>
      <c r="AA3" s="898"/>
      <c r="AB3" s="898"/>
      <c r="AC3" s="889"/>
      <c r="AD3" s="890"/>
      <c r="AE3" s="890"/>
      <c r="AF3" s="898"/>
      <c r="AG3" s="898"/>
      <c r="AH3" s="898"/>
      <c r="AI3" s="898"/>
      <c r="AJ3" s="889"/>
      <c r="AK3" s="890"/>
      <c r="AL3" s="890"/>
    </row>
    <row r="4" spans="1:38" s="892" customFormat="1" ht="14.25">
      <c r="A4" s="887"/>
      <c r="B4" s="900"/>
      <c r="C4" s="898"/>
      <c r="D4" s="898"/>
      <c r="E4" s="889"/>
      <c r="F4" s="898"/>
      <c r="G4" s="900"/>
      <c r="H4" s="901"/>
      <c r="I4" s="901"/>
      <c r="J4" s="889"/>
      <c r="K4" s="889"/>
      <c r="L4" s="889"/>
      <c r="M4" s="902" t="s">
        <v>123</v>
      </c>
      <c r="N4" s="889"/>
      <c r="O4" s="889"/>
      <c r="P4" s="901"/>
      <c r="Q4" s="901"/>
      <c r="R4" s="899"/>
      <c r="S4" s="899"/>
      <c r="T4" s="899"/>
      <c r="U4" s="899"/>
      <c r="W4" s="901"/>
      <c r="X4" s="901"/>
      <c r="Y4" s="898"/>
      <c r="Z4" s="898"/>
      <c r="AA4" s="898"/>
      <c r="AB4" s="898"/>
      <c r="AC4" s="900"/>
      <c r="AD4" s="901"/>
      <c r="AE4" s="901"/>
      <c r="AF4" s="898"/>
      <c r="AG4" s="898"/>
      <c r="AH4" s="898"/>
      <c r="AI4" s="898"/>
      <c r="AJ4" s="900"/>
      <c r="AK4" s="901"/>
      <c r="AL4" s="901"/>
    </row>
    <row r="5" spans="1:38" s="885" customFormat="1" ht="14.25">
      <c r="A5" s="903"/>
      <c r="B5" s="904"/>
      <c r="C5" s="905" t="s">
        <v>240</v>
      </c>
      <c r="D5" s="906"/>
      <c r="E5" s="906"/>
      <c r="F5" s="906"/>
      <c r="G5" s="906"/>
      <c r="H5" s="907"/>
      <c r="I5" s="907"/>
      <c r="J5" s="1160" t="s">
        <v>232</v>
      </c>
      <c r="K5" s="1161"/>
      <c r="L5" s="1161"/>
      <c r="M5" s="1161"/>
      <c r="N5" s="1161"/>
      <c r="O5" s="1162"/>
      <c r="P5" s="907"/>
      <c r="Q5" s="907"/>
      <c r="R5" s="1160" t="s">
        <v>124</v>
      </c>
      <c r="S5" s="1161"/>
      <c r="T5" s="1161"/>
      <c r="U5" s="1161"/>
      <c r="V5" s="1161"/>
      <c r="W5" s="1162"/>
      <c r="X5" s="907"/>
      <c r="Y5" s="1160" t="s">
        <v>294</v>
      </c>
      <c r="Z5" s="1161"/>
      <c r="AA5" s="1161"/>
      <c r="AB5" s="1161"/>
      <c r="AC5" s="1161"/>
      <c r="AD5" s="1161"/>
      <c r="AE5" s="907"/>
      <c r="AF5" s="1160" t="s">
        <v>1138</v>
      </c>
      <c r="AG5" s="1161"/>
      <c r="AH5" s="1161"/>
      <c r="AI5" s="1161"/>
      <c r="AJ5" s="1161"/>
      <c r="AK5" s="1162"/>
      <c r="AL5" s="907"/>
    </row>
    <row r="6" spans="1:38" ht="99.75">
      <c r="A6" s="908"/>
      <c r="B6" s="909"/>
      <c r="C6" s="487" t="s">
        <v>119</v>
      </c>
      <c r="D6" s="487" t="s">
        <v>136</v>
      </c>
      <c r="E6" s="487" t="s">
        <v>293</v>
      </c>
      <c r="F6" s="487" t="s">
        <v>129</v>
      </c>
      <c r="G6" s="487" t="s">
        <v>137</v>
      </c>
      <c r="H6" s="936" t="s">
        <v>152</v>
      </c>
      <c r="I6" s="748" t="s">
        <v>295</v>
      </c>
      <c r="J6" s="910" t="s">
        <v>119</v>
      </c>
      <c r="K6" s="911" t="s">
        <v>290</v>
      </c>
      <c r="L6" s="747" t="s">
        <v>136</v>
      </c>
      <c r="M6" s="487" t="s">
        <v>293</v>
      </c>
      <c r="N6" s="487" t="s">
        <v>129</v>
      </c>
      <c r="O6" s="487" t="s">
        <v>137</v>
      </c>
      <c r="P6" s="936" t="s">
        <v>152</v>
      </c>
      <c r="Q6" s="748" t="s">
        <v>295</v>
      </c>
      <c r="R6" s="911" t="s">
        <v>150</v>
      </c>
      <c r="S6" s="747" t="s">
        <v>136</v>
      </c>
      <c r="T6" s="487" t="s">
        <v>293</v>
      </c>
      <c r="U6" s="487" t="s">
        <v>129</v>
      </c>
      <c r="V6" s="911" t="s">
        <v>151</v>
      </c>
      <c r="W6" s="936" t="s">
        <v>152</v>
      </c>
      <c r="X6" s="748" t="s">
        <v>295</v>
      </c>
      <c r="Y6" s="911" t="s">
        <v>119</v>
      </c>
      <c r="Z6" s="747" t="s">
        <v>136</v>
      </c>
      <c r="AA6" s="487" t="s">
        <v>293</v>
      </c>
      <c r="AB6" s="487" t="s">
        <v>129</v>
      </c>
      <c r="AC6" s="911" t="s">
        <v>137</v>
      </c>
      <c r="AD6" s="936" t="s">
        <v>152</v>
      </c>
      <c r="AE6" s="748" t="s">
        <v>295</v>
      </c>
      <c r="AF6" s="911" t="s">
        <v>119</v>
      </c>
      <c r="AG6" s="747" t="s">
        <v>136</v>
      </c>
      <c r="AH6" s="487" t="s">
        <v>293</v>
      </c>
      <c r="AI6" s="487" t="s">
        <v>129</v>
      </c>
      <c r="AJ6" s="911" t="s">
        <v>137</v>
      </c>
      <c r="AK6" s="936" t="s">
        <v>152</v>
      </c>
      <c r="AL6" s="748" t="s">
        <v>295</v>
      </c>
    </row>
    <row r="7" spans="1:38" s="912" customFormat="1" ht="12.75">
      <c r="A7" s="911">
        <v>1</v>
      </c>
      <c r="B7" s="911">
        <v>2</v>
      </c>
      <c r="C7" s="911">
        <v>3</v>
      </c>
      <c r="D7" s="911">
        <v>4</v>
      </c>
      <c r="E7" s="911">
        <v>5</v>
      </c>
      <c r="F7" s="911">
        <v>6</v>
      </c>
      <c r="G7" s="911">
        <v>7</v>
      </c>
      <c r="H7" s="911">
        <v>8</v>
      </c>
      <c r="I7" s="911">
        <v>8</v>
      </c>
      <c r="J7" s="911">
        <v>9</v>
      </c>
      <c r="K7" s="911">
        <v>10</v>
      </c>
      <c r="L7" s="911">
        <v>11</v>
      </c>
      <c r="M7" s="911">
        <v>12</v>
      </c>
      <c r="N7" s="911">
        <v>13</v>
      </c>
      <c r="O7" s="911">
        <v>14</v>
      </c>
      <c r="P7" s="911">
        <v>15</v>
      </c>
      <c r="Q7" s="911">
        <v>8</v>
      </c>
      <c r="R7" s="911">
        <v>16</v>
      </c>
      <c r="S7" s="911">
        <v>17</v>
      </c>
      <c r="T7" s="911">
        <v>18</v>
      </c>
      <c r="U7" s="911">
        <v>19</v>
      </c>
      <c r="V7" s="911">
        <v>20</v>
      </c>
      <c r="W7" s="911">
        <v>21</v>
      </c>
      <c r="X7" s="911">
        <v>8</v>
      </c>
      <c r="Y7" s="911">
        <v>22</v>
      </c>
      <c r="Z7" s="911">
        <v>23</v>
      </c>
      <c r="AA7" s="911">
        <v>24</v>
      </c>
      <c r="AB7" s="911">
        <v>25</v>
      </c>
      <c r="AC7" s="911">
        <v>26</v>
      </c>
      <c r="AD7" s="911">
        <v>27</v>
      </c>
      <c r="AE7" s="911">
        <v>8</v>
      </c>
      <c r="AF7" s="911">
        <v>28</v>
      </c>
      <c r="AG7" s="911">
        <v>29</v>
      </c>
      <c r="AH7" s="911">
        <v>30</v>
      </c>
      <c r="AI7" s="911">
        <v>31</v>
      </c>
      <c r="AJ7" s="911">
        <v>32</v>
      </c>
      <c r="AK7" s="911">
        <v>33</v>
      </c>
      <c r="AL7" s="911">
        <v>8</v>
      </c>
    </row>
    <row r="8" spans="1:38" ht="14.25">
      <c r="A8" s="913">
        <v>1</v>
      </c>
      <c r="B8" s="914" t="s">
        <v>213</v>
      </c>
      <c r="C8" s="915">
        <f>'[1]հաստիքացուցակ'!G19</f>
        <v>7</v>
      </c>
      <c r="D8" s="915">
        <f>'[1]հաստիքացուցակ'!J19</f>
        <v>6240000</v>
      </c>
      <c r="E8" s="915"/>
      <c r="F8" s="915"/>
      <c r="G8" s="915">
        <f>D8+F8+E8</f>
        <v>6240000</v>
      </c>
      <c r="H8" s="935">
        <f>G8*13</f>
        <v>81120000</v>
      </c>
      <c r="I8" s="749">
        <f>D8*13</f>
        <v>81120000</v>
      </c>
      <c r="J8" s="915">
        <f>'[1]հաստիքացուցակ'!N19</f>
        <v>7</v>
      </c>
      <c r="K8" s="915">
        <v>0</v>
      </c>
      <c r="L8" s="915">
        <f>'[1]հաստիքացուցակ'!Q19</f>
        <v>6240000</v>
      </c>
      <c r="M8" s="915"/>
      <c r="N8" s="915"/>
      <c r="O8" s="915">
        <f>L8+M8+N8</f>
        <v>6240000</v>
      </c>
      <c r="P8" s="935">
        <f>O8*13</f>
        <v>81120000</v>
      </c>
      <c r="Q8" s="749">
        <f>L8*13</f>
        <v>81120000</v>
      </c>
      <c r="R8" s="915">
        <f>C8-J8</f>
        <v>0</v>
      </c>
      <c r="S8" s="915">
        <f aca="true" t="shared" si="0" ref="S8:V11">D8-L8</f>
        <v>0</v>
      </c>
      <c r="T8" s="915">
        <f t="shared" si="0"/>
        <v>0</v>
      </c>
      <c r="U8" s="915">
        <f t="shared" si="0"/>
        <v>0</v>
      </c>
      <c r="V8" s="915">
        <f t="shared" si="0"/>
        <v>0</v>
      </c>
      <c r="W8" s="935">
        <f aca="true" t="shared" si="1" ref="W8:X11">+H8-P8</f>
        <v>0</v>
      </c>
      <c r="X8" s="749">
        <f t="shared" si="1"/>
        <v>0</v>
      </c>
      <c r="Y8" s="915">
        <f>'[1]հաստիքացուցակ'!Z19</f>
        <v>7</v>
      </c>
      <c r="Z8" s="937">
        <f>'[1]հաստիքացուցակ'!AC19</f>
        <v>6240000</v>
      </c>
      <c r="AA8" s="915"/>
      <c r="AB8" s="915"/>
      <c r="AC8" s="915">
        <f>Z8+AA8+AB8</f>
        <v>6240000</v>
      </c>
      <c r="AD8" s="935">
        <f>AC8*13</f>
        <v>81120000</v>
      </c>
      <c r="AE8" s="749">
        <f>Z8*13</f>
        <v>81120000</v>
      </c>
      <c r="AF8" s="915">
        <f>'[1]հաստիքացուցակ'!AG19</f>
        <v>7</v>
      </c>
      <c r="AG8" s="915">
        <f>'[1]հաստիքացուցակ'!AJ19</f>
        <v>6240000</v>
      </c>
      <c r="AH8" s="915"/>
      <c r="AI8" s="915"/>
      <c r="AJ8" s="915">
        <f>AG8+AH8+AI8</f>
        <v>6240000</v>
      </c>
      <c r="AK8" s="935">
        <f>AJ8*13</f>
        <v>81120000</v>
      </c>
      <c r="AL8" s="749">
        <f>AG8*13</f>
        <v>81120000</v>
      </c>
    </row>
    <row r="9" spans="1:38" ht="40.5">
      <c r="A9" s="913">
        <v>2</v>
      </c>
      <c r="B9" s="914" t="s">
        <v>219</v>
      </c>
      <c r="C9" s="915">
        <f>'[1]հաստիքացուցակ'!G38</f>
        <v>12</v>
      </c>
      <c r="D9" s="916">
        <f>'[1]հաստիքացուցակ'!J38</f>
        <v>3827200</v>
      </c>
      <c r="E9" s="917"/>
      <c r="F9" s="917"/>
      <c r="G9" s="915">
        <f>D9+F9+E9</f>
        <v>3827200</v>
      </c>
      <c r="H9" s="935">
        <f>G9*13</f>
        <v>49753600</v>
      </c>
      <c r="I9" s="749">
        <f>D9*13</f>
        <v>49753600</v>
      </c>
      <c r="J9" s="915">
        <f>'[1]հաստիքացուցակ'!N38</f>
        <v>12</v>
      </c>
      <c r="K9" s="915">
        <v>5</v>
      </c>
      <c r="L9" s="916">
        <f>'[1]հաստիքացուցակ'!Q38</f>
        <v>3827200</v>
      </c>
      <c r="M9" s="916"/>
      <c r="N9" s="916"/>
      <c r="O9" s="915">
        <f>L9+M9+N9</f>
        <v>3827200</v>
      </c>
      <c r="P9" s="935">
        <f>O9*13</f>
        <v>49753600</v>
      </c>
      <c r="Q9" s="749">
        <f>L9*13</f>
        <v>49753600</v>
      </c>
      <c r="R9" s="915">
        <f>C9-J9</f>
        <v>0</v>
      </c>
      <c r="S9" s="915">
        <f>D9-L9</f>
        <v>0</v>
      </c>
      <c r="T9" s="915">
        <f>E9-M9</f>
        <v>0</v>
      </c>
      <c r="U9" s="915">
        <f>F9-N9</f>
        <v>0</v>
      </c>
      <c r="V9" s="915">
        <f>G9-O9</f>
        <v>0</v>
      </c>
      <c r="W9" s="935">
        <f>+H9-P9</f>
        <v>0</v>
      </c>
      <c r="X9" s="749">
        <f>+I9-Q9</f>
        <v>0</v>
      </c>
      <c r="Y9" s="915">
        <f>'[1]հաստիքացուցակ'!Z38</f>
        <v>12</v>
      </c>
      <c r="Z9" s="937">
        <f>'[1]հաստիքացուցակ'!AC38</f>
        <v>3827200</v>
      </c>
      <c r="AA9" s="915"/>
      <c r="AB9" s="915"/>
      <c r="AC9" s="915">
        <f>Z9+AA9+AB9</f>
        <v>3827200</v>
      </c>
      <c r="AD9" s="935">
        <f>AC9*13</f>
        <v>49753600</v>
      </c>
      <c r="AE9" s="749">
        <f>Z9*13</f>
        <v>49753600</v>
      </c>
      <c r="AF9" s="915">
        <f>'[1]հաստիքացուցակ'!AG38</f>
        <v>12</v>
      </c>
      <c r="AG9" s="915">
        <f>'[1]հաստիքացուցակ'!AJ38</f>
        <v>3827200</v>
      </c>
      <c r="AH9" s="915"/>
      <c r="AI9" s="915"/>
      <c r="AJ9" s="915">
        <f>AG9+AH9+AI9</f>
        <v>3827200</v>
      </c>
      <c r="AK9" s="935">
        <f>AJ9*13</f>
        <v>49753600</v>
      </c>
      <c r="AL9" s="749">
        <f>AG9*13</f>
        <v>49753600</v>
      </c>
    </row>
    <row r="10" spans="1:38" ht="27">
      <c r="A10" s="913">
        <v>3</v>
      </c>
      <c r="B10" s="914" t="s">
        <v>161</v>
      </c>
      <c r="C10" s="915">
        <f>'[1]հաստիքացուցակ'!G227</f>
        <v>121</v>
      </c>
      <c r="D10" s="916">
        <f>'[1]հաստիքացուցակ'!J227</f>
        <v>42141890</v>
      </c>
      <c r="E10" s="916">
        <f>'[1]հաստիքացուցակ'!L227</f>
        <v>529456.1000000001</v>
      </c>
      <c r="F10" s="916">
        <f>'[1]հաստիքացուցակ'!K227</f>
        <v>64521.6</v>
      </c>
      <c r="G10" s="915">
        <f>D10+F10+E10</f>
        <v>42735867.7</v>
      </c>
      <c r="H10" s="935">
        <f>G10*13</f>
        <v>555566280.1</v>
      </c>
      <c r="I10" s="749">
        <f>D10*13</f>
        <v>547844570</v>
      </c>
      <c r="J10" s="915">
        <f>'[1]հաստիքացուցակ'!N227</f>
        <v>121</v>
      </c>
      <c r="K10" s="915">
        <v>53</v>
      </c>
      <c r="L10" s="916">
        <f>'[1]հաստիքացուցակ'!Q227</f>
        <v>41883550</v>
      </c>
      <c r="M10" s="916">
        <f>'[1]հաստիքացուցակ'!S227</f>
        <v>529393.5000000001</v>
      </c>
      <c r="N10" s="916">
        <f>'[1]հաստիքացուցակ'!R227</f>
        <v>64521.6</v>
      </c>
      <c r="O10" s="915">
        <f>L10+M10+N10</f>
        <v>42477465.1</v>
      </c>
      <c r="P10" s="935">
        <f>O10*13</f>
        <v>552207046.3000001</v>
      </c>
      <c r="Q10" s="749">
        <f>L10*13</f>
        <v>544486150</v>
      </c>
      <c r="R10" s="915">
        <f>C10-J10</f>
        <v>0</v>
      </c>
      <c r="S10" s="915">
        <f t="shared" si="0"/>
        <v>258340</v>
      </c>
      <c r="T10" s="915">
        <f t="shared" si="0"/>
        <v>62.59999999997672</v>
      </c>
      <c r="U10" s="915">
        <f t="shared" si="0"/>
        <v>0</v>
      </c>
      <c r="V10" s="915">
        <f t="shared" si="0"/>
        <v>258402.6000000015</v>
      </c>
      <c r="W10" s="935">
        <f t="shared" si="1"/>
        <v>3359233.7999999523</v>
      </c>
      <c r="X10" s="749">
        <f t="shared" si="1"/>
        <v>3358420</v>
      </c>
      <c r="Y10" s="915">
        <f>'[1]հաստիքացուցակ'!Z227</f>
        <v>121</v>
      </c>
      <c r="Z10" s="937">
        <f>'[1]հաստիքացուցակ'!AC227</f>
        <v>42403138</v>
      </c>
      <c r="AA10" s="915">
        <f>'[1]հաստիքացուցակ'!AE227</f>
        <v>529955.3</v>
      </c>
      <c r="AB10" s="915">
        <f>'[1]հաստիքացուցակ'!AD227</f>
        <v>64521.6</v>
      </c>
      <c r="AC10" s="915">
        <f>Z10+AA10+AB10</f>
        <v>42997614.9</v>
      </c>
      <c r="AD10" s="935">
        <f>AC10*13</f>
        <v>558968993.6999999</v>
      </c>
      <c r="AE10" s="749">
        <f>Z10*13</f>
        <v>551240794</v>
      </c>
      <c r="AF10" s="915">
        <f>'[1]հաստիքացուցակ'!AG227</f>
        <v>121</v>
      </c>
      <c r="AG10" s="915">
        <f>'[1]հաստիքացուցակ'!AJ227</f>
        <v>42671874</v>
      </c>
      <c r="AH10" s="915">
        <f>'[1]հաստիքացուցակ'!AL227</f>
        <v>534988.8999999999</v>
      </c>
      <c r="AI10" s="915">
        <f>'[1]հաստիքացուցակ'!AK227</f>
        <v>66643.2</v>
      </c>
      <c r="AJ10" s="915">
        <f>AG10+AH10+AI10</f>
        <v>43273506.1</v>
      </c>
      <c r="AK10" s="935">
        <f>AJ10*13</f>
        <v>562555579.3000001</v>
      </c>
      <c r="AL10" s="749">
        <f>AG10*13</f>
        <v>554734362</v>
      </c>
    </row>
    <row r="11" spans="1:38" ht="54">
      <c r="A11" s="913">
        <v>4</v>
      </c>
      <c r="B11" s="914" t="s">
        <v>216</v>
      </c>
      <c r="C11" s="915">
        <f>'[1]հաստիքացուցակ'!G252</f>
        <v>15</v>
      </c>
      <c r="D11" s="916">
        <f>'[1]հաստիքացուցակ'!J252</f>
        <v>2129755</v>
      </c>
      <c r="E11" s="917"/>
      <c r="F11" s="917"/>
      <c r="G11" s="915">
        <f>D11+F11+E11</f>
        <v>2129755</v>
      </c>
      <c r="H11" s="935">
        <f>G11*12</f>
        <v>25557060</v>
      </c>
      <c r="I11" s="749">
        <f>D11*12</f>
        <v>25557060</v>
      </c>
      <c r="J11" s="915">
        <f>'[1]հաստիքացուցակ'!N252</f>
        <v>15</v>
      </c>
      <c r="K11" s="915">
        <v>1</v>
      </c>
      <c r="L11" s="916">
        <f>'[1]հաստիքացուցակ'!Q252</f>
        <v>2129755</v>
      </c>
      <c r="M11" s="916"/>
      <c r="N11" s="916"/>
      <c r="O11" s="915">
        <f>L11+M11+N11</f>
        <v>2129755</v>
      </c>
      <c r="P11" s="935">
        <f>O11*12</f>
        <v>25557060</v>
      </c>
      <c r="Q11" s="749">
        <f>L11*12</f>
        <v>25557060</v>
      </c>
      <c r="R11" s="915">
        <f>C11-J11</f>
        <v>0</v>
      </c>
      <c r="S11" s="915">
        <f t="shared" si="0"/>
        <v>0</v>
      </c>
      <c r="T11" s="915">
        <f t="shared" si="0"/>
        <v>0</v>
      </c>
      <c r="U11" s="915">
        <f t="shared" si="0"/>
        <v>0</v>
      </c>
      <c r="V11" s="915">
        <f t="shared" si="0"/>
        <v>0</v>
      </c>
      <c r="W11" s="935">
        <f t="shared" si="1"/>
        <v>0</v>
      </c>
      <c r="X11" s="749">
        <f t="shared" si="1"/>
        <v>0</v>
      </c>
      <c r="Y11" s="915">
        <f>'[1]հաստիքացուցակ'!Z252</f>
        <v>15</v>
      </c>
      <c r="Z11" s="937">
        <f>'[1]հաստիքացուցակ'!AC252</f>
        <v>2129755</v>
      </c>
      <c r="AA11" s="915"/>
      <c r="AB11" s="915"/>
      <c r="AC11" s="915">
        <f>Z11+AA11+AB11</f>
        <v>2129755</v>
      </c>
      <c r="AD11" s="935">
        <f>AC11*12</f>
        <v>25557060</v>
      </c>
      <c r="AE11" s="749">
        <f>Z11*12</f>
        <v>25557060</v>
      </c>
      <c r="AF11" s="915">
        <f>'[1]հաստիքացուցակ'!AG252</f>
        <v>15</v>
      </c>
      <c r="AG11" s="915">
        <f>'[1]հաստիքացուցակ'!AJ252</f>
        <v>2129755</v>
      </c>
      <c r="AH11" s="915"/>
      <c r="AI11" s="915"/>
      <c r="AJ11" s="915">
        <f>AG11+AH11+AI11</f>
        <v>2129755</v>
      </c>
      <c r="AK11" s="935">
        <f>AJ11*12</f>
        <v>25557060</v>
      </c>
      <c r="AL11" s="749">
        <f>AG11*12</f>
        <v>25557060</v>
      </c>
    </row>
    <row r="12" spans="1:38" ht="28.5">
      <c r="A12" s="913"/>
      <c r="B12" s="918" t="s">
        <v>133</v>
      </c>
      <c r="C12" s="915">
        <f aca="true" t="shared" si="2" ref="C12:AL12">SUM(C8:C11)</f>
        <v>155</v>
      </c>
      <c r="D12" s="915">
        <f t="shared" si="2"/>
        <v>54338845</v>
      </c>
      <c r="E12" s="915">
        <f t="shared" si="2"/>
        <v>529456.1000000001</v>
      </c>
      <c r="F12" s="915">
        <f t="shared" si="2"/>
        <v>64521.6</v>
      </c>
      <c r="G12" s="915">
        <f t="shared" si="2"/>
        <v>54932822.7</v>
      </c>
      <c r="H12" s="935">
        <f t="shared" si="2"/>
        <v>711996940.1</v>
      </c>
      <c r="I12" s="749">
        <f t="shared" si="2"/>
        <v>704275230</v>
      </c>
      <c r="J12" s="915">
        <f t="shared" si="2"/>
        <v>155</v>
      </c>
      <c r="K12" s="915">
        <f t="shared" si="2"/>
        <v>59</v>
      </c>
      <c r="L12" s="915">
        <f t="shared" si="2"/>
        <v>54080505</v>
      </c>
      <c r="M12" s="915">
        <f t="shared" si="2"/>
        <v>529393.5000000001</v>
      </c>
      <c r="N12" s="915">
        <f t="shared" si="2"/>
        <v>64521.6</v>
      </c>
      <c r="O12" s="915">
        <f t="shared" si="2"/>
        <v>54674420.1</v>
      </c>
      <c r="P12" s="935">
        <f t="shared" si="2"/>
        <v>708637706.3000001</v>
      </c>
      <c r="Q12" s="749">
        <f t="shared" si="2"/>
        <v>700916810</v>
      </c>
      <c r="R12" s="915">
        <f t="shared" si="2"/>
        <v>0</v>
      </c>
      <c r="S12" s="915">
        <f t="shared" si="2"/>
        <v>258340</v>
      </c>
      <c r="T12" s="915">
        <f t="shared" si="2"/>
        <v>62.59999999997672</v>
      </c>
      <c r="U12" s="915">
        <f t="shared" si="2"/>
        <v>0</v>
      </c>
      <c r="V12" s="915">
        <f t="shared" si="2"/>
        <v>258402.6000000015</v>
      </c>
      <c r="W12" s="935">
        <f t="shared" si="2"/>
        <v>3359233.7999999523</v>
      </c>
      <c r="X12" s="749">
        <f t="shared" si="2"/>
        <v>3358420</v>
      </c>
      <c r="Y12" s="915">
        <f t="shared" si="2"/>
        <v>155</v>
      </c>
      <c r="Z12" s="937">
        <f t="shared" si="2"/>
        <v>54600093</v>
      </c>
      <c r="AA12" s="915">
        <f t="shared" si="2"/>
        <v>529955.3</v>
      </c>
      <c r="AB12" s="915">
        <f t="shared" si="2"/>
        <v>64521.6</v>
      </c>
      <c r="AC12" s="915">
        <f t="shared" si="2"/>
        <v>55194569.9</v>
      </c>
      <c r="AD12" s="935">
        <f t="shared" si="2"/>
        <v>715399653.6999999</v>
      </c>
      <c r="AE12" s="749">
        <f t="shared" si="2"/>
        <v>707671454</v>
      </c>
      <c r="AF12" s="915">
        <f t="shared" si="2"/>
        <v>155</v>
      </c>
      <c r="AG12" s="915">
        <f t="shared" si="2"/>
        <v>54868829</v>
      </c>
      <c r="AH12" s="915">
        <f t="shared" si="2"/>
        <v>534988.8999999999</v>
      </c>
      <c r="AI12" s="915">
        <f t="shared" si="2"/>
        <v>66643.2</v>
      </c>
      <c r="AJ12" s="915">
        <f t="shared" si="2"/>
        <v>55470461.1</v>
      </c>
      <c r="AK12" s="935">
        <f t="shared" si="2"/>
        <v>718986239.3000001</v>
      </c>
      <c r="AL12" s="749">
        <f t="shared" si="2"/>
        <v>711165022</v>
      </c>
    </row>
    <row r="13" spans="2:38" ht="16.5">
      <c r="B13" s="920" t="s">
        <v>296</v>
      </c>
      <c r="C13" s="889"/>
      <c r="G13" s="752"/>
      <c r="H13" s="886"/>
      <c r="I13" s="921">
        <f>+I12*0.16</f>
        <v>112684036.8</v>
      </c>
      <c r="J13" s="922"/>
      <c r="K13" s="922"/>
      <c r="L13" s="923"/>
      <c r="M13" s="923"/>
      <c r="N13" s="923"/>
      <c r="O13" s="923"/>
      <c r="P13" s="924"/>
      <c r="Q13" s="921">
        <f>+Q12*0.16</f>
        <v>112146689.60000001</v>
      </c>
      <c r="R13" s="923"/>
      <c r="S13" s="923"/>
      <c r="T13" s="923"/>
      <c r="U13" s="923"/>
      <c r="V13" s="923"/>
      <c r="W13" s="925"/>
      <c r="X13" s="925"/>
      <c r="Y13" s="922"/>
      <c r="Z13" s="922"/>
      <c r="AA13" s="922"/>
      <c r="AB13" s="922"/>
      <c r="AC13" s="923"/>
      <c r="AD13" s="924"/>
      <c r="AE13" s="921">
        <f>+AE12*0.16</f>
        <v>113227432.64</v>
      </c>
      <c r="AF13" s="922"/>
      <c r="AG13" s="922"/>
      <c r="AH13" s="922"/>
      <c r="AI13" s="922"/>
      <c r="AJ13" s="923"/>
      <c r="AK13" s="924"/>
      <c r="AL13" s="921">
        <f>+AL12*0.16</f>
        <v>113786403.52</v>
      </c>
    </row>
    <row r="14" spans="2:38" ht="16.5">
      <c r="B14" s="920" t="s">
        <v>289</v>
      </c>
      <c r="G14" s="752"/>
      <c r="H14" s="886"/>
      <c r="I14" s="921">
        <f>H12+I13/6</f>
        <v>730777612.9</v>
      </c>
      <c r="J14" s="923"/>
      <c r="K14" s="923"/>
      <c r="L14" s="923"/>
      <c r="M14" s="923"/>
      <c r="N14" s="923"/>
      <c r="O14" s="923"/>
      <c r="P14" s="924"/>
      <c r="Q14" s="921">
        <f>P12+Q13/6</f>
        <v>727328821.2333333</v>
      </c>
      <c r="R14" s="923"/>
      <c r="S14" s="923"/>
      <c r="T14" s="923"/>
      <c r="U14" s="923"/>
      <c r="V14" s="923"/>
      <c r="W14" s="925"/>
      <c r="X14" s="925"/>
      <c r="Y14" s="923"/>
      <c r="Z14" s="923"/>
      <c r="AA14" s="923"/>
      <c r="AB14" s="923"/>
      <c r="AC14" s="923"/>
      <c r="AD14" s="924"/>
      <c r="AE14" s="921">
        <f>+AD12+AE13/6</f>
        <v>734270892.4733332</v>
      </c>
      <c r="AF14" s="923"/>
      <c r="AG14" s="923"/>
      <c r="AH14" s="923"/>
      <c r="AI14" s="923"/>
      <c r="AJ14" s="923"/>
      <c r="AK14" s="924"/>
      <c r="AL14" s="921">
        <f>+AK12+AL13/6</f>
        <v>737950639.8866668</v>
      </c>
    </row>
    <row r="15" spans="15:24" ht="14.25">
      <c r="O15" s="752"/>
      <c r="W15" s="926"/>
      <c r="X15" s="926"/>
    </row>
    <row r="16" spans="2:9" ht="17.25">
      <c r="B16" s="927"/>
      <c r="C16" s="928"/>
      <c r="D16" s="928"/>
      <c r="E16" s="928"/>
      <c r="F16" s="928"/>
      <c r="G16" s="928"/>
      <c r="H16" s="928"/>
      <c r="I16" s="928"/>
    </row>
    <row r="17" spans="2:9" ht="17.25">
      <c r="B17" s="927" t="s">
        <v>1443</v>
      </c>
      <c r="C17" s="928"/>
      <c r="D17" s="928"/>
      <c r="E17" s="928"/>
      <c r="F17" s="928"/>
      <c r="G17" s="928"/>
      <c r="H17" s="928"/>
      <c r="I17" s="928"/>
    </row>
    <row r="18" spans="2:18" ht="17.25">
      <c r="B18" s="927"/>
      <c r="C18" s="928"/>
      <c r="D18" s="928"/>
      <c r="E18" s="928"/>
      <c r="F18" s="928"/>
      <c r="G18" s="928"/>
      <c r="H18" s="928"/>
      <c r="I18" s="928"/>
      <c r="R18" s="929"/>
    </row>
    <row r="19" spans="2:9" ht="17.25">
      <c r="B19" s="927"/>
      <c r="C19" s="928"/>
      <c r="D19" s="928"/>
      <c r="E19" s="928"/>
      <c r="F19" s="928"/>
      <c r="G19" s="928"/>
      <c r="H19" s="928"/>
      <c r="I19" s="928"/>
    </row>
    <row r="20" spans="2:13" ht="17.25">
      <c r="B20" s="927" t="s">
        <v>1444</v>
      </c>
      <c r="C20" s="928"/>
      <c r="D20" s="928"/>
      <c r="E20" s="928"/>
      <c r="F20" s="928"/>
      <c r="G20" s="928"/>
      <c r="H20" s="928"/>
      <c r="I20" s="928"/>
      <c r="L20" s="752"/>
      <c r="M20" s="752"/>
    </row>
    <row r="21" spans="2:9" ht="17.25">
      <c r="B21" s="927"/>
      <c r="C21" s="928"/>
      <c r="D21" s="928"/>
      <c r="E21" s="928"/>
      <c r="F21" s="928"/>
      <c r="G21" s="928"/>
      <c r="H21" s="928"/>
      <c r="I21" s="928"/>
    </row>
    <row r="24" spans="3:7" ht="14.25">
      <c r="C24" s="930" t="s">
        <v>240</v>
      </c>
      <c r="D24" s="930" t="s">
        <v>292</v>
      </c>
      <c r="E24" s="930" t="s">
        <v>854</v>
      </c>
      <c r="G24" s="885"/>
    </row>
    <row r="26" spans="2:5" ht="14.25">
      <c r="B26" s="889" t="s">
        <v>1445</v>
      </c>
      <c r="C26" s="931">
        <f>I14</f>
        <v>730777612.9</v>
      </c>
      <c r="D26" s="931">
        <f>AE14</f>
        <v>734270892.4733332</v>
      </c>
      <c r="E26" s="931">
        <f>AL14</f>
        <v>737950639.8866668</v>
      </c>
    </row>
    <row r="27" spans="3:5" ht="14.25">
      <c r="C27" s="932"/>
      <c r="D27" s="932"/>
      <c r="E27" s="932"/>
    </row>
    <row r="28" spans="2:5" ht="14.25">
      <c r="B28" s="750" t="s">
        <v>1446</v>
      </c>
      <c r="C28" s="751">
        <f>8*267072*12</f>
        <v>25638912</v>
      </c>
      <c r="D28" s="751">
        <f>8*267072*12</f>
        <v>25638912</v>
      </c>
      <c r="E28" s="751">
        <f>8*267072*12</f>
        <v>25638912</v>
      </c>
    </row>
    <row r="30" spans="2:8" ht="14.25">
      <c r="B30" s="933" t="s">
        <v>1447</v>
      </c>
      <c r="C30" s="934">
        <f>C26+C28</f>
        <v>756416524.9</v>
      </c>
      <c r="D30" s="934">
        <f>D26+D28</f>
        <v>759909804.4733332</v>
      </c>
      <c r="E30" s="934">
        <f>E26+E28</f>
        <v>763589551.8866668</v>
      </c>
      <c r="H30" s="886"/>
    </row>
    <row r="33" spans="2:5" ht="14.25">
      <c r="B33" s="889" t="s">
        <v>1448</v>
      </c>
      <c r="C33" s="884">
        <f>H10*0.1</f>
        <v>55556628.010000005</v>
      </c>
      <c r="D33" s="752">
        <f>AD10*0.1</f>
        <v>55896899.37</v>
      </c>
      <c r="E33" s="752">
        <f>AK10*0.1</f>
        <v>56255557.93000001</v>
      </c>
    </row>
    <row r="35" spans="2:8" ht="14.25">
      <c r="B35" s="889" t="s">
        <v>1449</v>
      </c>
      <c r="C35" s="752">
        <f>I13-C33</f>
        <v>57127408.78999999</v>
      </c>
      <c r="D35" s="752">
        <f>AE13-D33</f>
        <v>57330533.27</v>
      </c>
      <c r="E35" s="752">
        <f>AL13-E33</f>
        <v>57530845.58999999</v>
      </c>
      <c r="H35" s="886"/>
    </row>
    <row r="37" spans="2:5" ht="14.25">
      <c r="B37" s="933" t="s">
        <v>1450</v>
      </c>
      <c r="C37" s="934">
        <f>C33+C35</f>
        <v>112684036.8</v>
      </c>
      <c r="D37" s="934">
        <f>D33+D35</f>
        <v>113227432.64</v>
      </c>
      <c r="E37" s="934">
        <f>E33+E35</f>
        <v>113786403.52</v>
      </c>
    </row>
    <row r="38" ht="14.25">
      <c r="E38" s="752"/>
    </row>
    <row r="39" spans="2:8" ht="14.25">
      <c r="B39" s="890" t="s">
        <v>1451</v>
      </c>
      <c r="C39" s="886">
        <f>C30+C37</f>
        <v>869100561.6999999</v>
      </c>
      <c r="D39" s="886">
        <f>D30+D37</f>
        <v>873137237.1133332</v>
      </c>
      <c r="E39" s="886">
        <f>E30+E37</f>
        <v>877375955.4066668</v>
      </c>
      <c r="H39" s="886"/>
    </row>
  </sheetData>
  <sheetProtection/>
  <mergeCells count="5">
    <mergeCell ref="J5:O5"/>
    <mergeCell ref="AF5:AK5"/>
    <mergeCell ref="B2:C2"/>
    <mergeCell ref="R5:W5"/>
    <mergeCell ref="Y5:AD5"/>
  </mergeCells>
  <printOptions/>
  <pageMargins left="0.27" right="0.17" top="0.23" bottom="0.26" header="0.17" footer="0.16"/>
  <pageSetup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8.57421875" style="359" customWidth="1"/>
    <col min="2" max="2" width="9.57421875" style="359" customWidth="1"/>
    <col min="3" max="3" width="8.57421875" style="256" customWidth="1"/>
    <col min="4" max="4" width="45.57421875" style="256" customWidth="1"/>
    <col min="5" max="5" width="17.8515625" style="256" customWidth="1"/>
    <col min="6" max="6" width="15.57421875" style="256" customWidth="1"/>
    <col min="7" max="7" width="14.28125" style="256" customWidth="1"/>
    <col min="8" max="8" width="15.28125" style="256" customWidth="1"/>
    <col min="9" max="9" width="14.7109375" style="256" customWidth="1"/>
    <col min="10" max="10" width="37.00390625" style="256" customWidth="1"/>
    <col min="11" max="11" width="15.28125" style="256" customWidth="1"/>
    <col min="12" max="12" width="13.421875" style="256" customWidth="1"/>
    <col min="13" max="13" width="26.8515625" style="256" bestFit="1" customWidth="1"/>
    <col min="14" max="16384" width="9.140625" style="256" customWidth="1"/>
  </cols>
  <sheetData>
    <row r="1" spans="1:10" ht="21.75" customHeight="1">
      <c r="A1" s="289"/>
      <c r="B1" s="289"/>
      <c r="J1" s="287" t="s">
        <v>14</v>
      </c>
    </row>
    <row r="2" spans="1:10" s="289" customFormat="1" ht="25.5" customHeight="1" thickBot="1">
      <c r="A2" s="1021" t="s">
        <v>1103</v>
      </c>
      <c r="B2" s="1021"/>
      <c r="C2" s="1021"/>
      <c r="D2" s="1021"/>
      <c r="E2" s="1021"/>
      <c r="F2" s="1021"/>
      <c r="G2" s="1021"/>
      <c r="H2" s="1021"/>
      <c r="I2" s="287"/>
      <c r="J2" s="287" t="s">
        <v>9</v>
      </c>
    </row>
    <row r="3" spans="1:10" s="257" customFormat="1" ht="17.25">
      <c r="A3" s="319" t="s">
        <v>195</v>
      </c>
      <c r="B3" s="319">
        <v>1</v>
      </c>
      <c r="C3" s="521"/>
      <c r="D3" s="1024"/>
      <c r="E3" s="1024"/>
      <c r="F3" s="1024"/>
      <c r="G3" s="1024"/>
      <c r="H3" s="1024"/>
      <c r="I3" s="1024"/>
      <c r="J3" s="521"/>
    </row>
    <row r="4" spans="1:12" s="257" customFormat="1" ht="17.25">
      <c r="A4" s="320" t="s">
        <v>196</v>
      </c>
      <c r="B4" s="320">
        <v>1</v>
      </c>
      <c r="C4" s="521"/>
      <c r="D4" s="518"/>
      <c r="E4" s="518"/>
      <c r="F4" s="518"/>
      <c r="G4" s="518"/>
      <c r="H4" s="518"/>
      <c r="I4" s="518"/>
      <c r="J4" s="521"/>
      <c r="K4" s="518"/>
      <c r="L4" s="518"/>
    </row>
    <row r="5" spans="1:12" s="289" customFormat="1" ht="17.25">
      <c r="A5" s="320" t="s">
        <v>197</v>
      </c>
      <c r="B5" s="320">
        <v>1</v>
      </c>
      <c r="D5" s="520"/>
      <c r="E5" s="287"/>
      <c r="F5" s="287"/>
      <c r="G5" s="287"/>
      <c r="H5" s="287"/>
      <c r="I5" s="287"/>
      <c r="J5" s="287"/>
      <c r="K5" s="287"/>
      <c r="L5" s="287"/>
    </row>
    <row r="6" spans="1:9" ht="17.25">
      <c r="A6" s="1020"/>
      <c r="B6" s="1020"/>
      <c r="C6" s="286"/>
      <c r="D6" s="258"/>
      <c r="E6" s="286"/>
      <c r="F6" s="286"/>
      <c r="H6" s="293" t="s">
        <v>164</v>
      </c>
      <c r="I6" s="321"/>
    </row>
    <row r="7" spans="1:12" ht="26.25" customHeight="1">
      <c r="A7" s="1023" t="s">
        <v>198</v>
      </c>
      <c r="B7" s="1023"/>
      <c r="C7" s="1018"/>
      <c r="D7" s="1019"/>
      <c r="E7" s="322" t="s">
        <v>230</v>
      </c>
      <c r="F7" s="322" t="s">
        <v>232</v>
      </c>
      <c r="G7" s="323" t="s">
        <v>240</v>
      </c>
      <c r="H7" s="323"/>
      <c r="I7" s="323"/>
      <c r="J7" s="323"/>
      <c r="K7" s="324" t="s">
        <v>292</v>
      </c>
      <c r="L7" s="324" t="s">
        <v>854</v>
      </c>
    </row>
    <row r="8" spans="1:12" ht="121.5">
      <c r="A8" s="377" t="s">
        <v>199</v>
      </c>
      <c r="B8" s="377" t="s">
        <v>200</v>
      </c>
      <c r="C8" s="378" t="s">
        <v>15</v>
      </c>
      <c r="D8" s="514" t="s">
        <v>175</v>
      </c>
      <c r="E8" s="101" t="s">
        <v>1109</v>
      </c>
      <c r="F8" s="379" t="s">
        <v>1110</v>
      </c>
      <c r="G8" s="101" t="s">
        <v>1111</v>
      </c>
      <c r="H8" s="101" t="s">
        <v>1112</v>
      </c>
      <c r="I8" s="334" t="s">
        <v>1113</v>
      </c>
      <c r="J8" s="101" t="s">
        <v>149</v>
      </c>
      <c r="K8" s="101" t="s">
        <v>11</v>
      </c>
      <c r="L8" s="323" t="s">
        <v>11</v>
      </c>
    </row>
    <row r="9" spans="1:13" s="325" customFormat="1" ht="17.25">
      <c r="A9" s="191">
        <v>1</v>
      </c>
      <c r="B9" s="191">
        <v>2</v>
      </c>
      <c r="C9" s="191">
        <v>3</v>
      </c>
      <c r="D9" s="191">
        <v>4</v>
      </c>
      <c r="E9" s="191">
        <v>5</v>
      </c>
      <c r="F9" s="191">
        <v>6</v>
      </c>
      <c r="G9" s="191">
        <v>7</v>
      </c>
      <c r="H9" s="191">
        <v>8</v>
      </c>
      <c r="I9" s="191">
        <v>9</v>
      </c>
      <c r="J9" s="191">
        <v>10</v>
      </c>
      <c r="K9" s="191">
        <v>11</v>
      </c>
      <c r="L9" s="191">
        <v>12</v>
      </c>
      <c r="M9" s="335"/>
    </row>
    <row r="10" spans="1:13" s="328" customFormat="1" ht="15" customHeight="1">
      <c r="A10" s="1025"/>
      <c r="B10" s="1027"/>
      <c r="C10" s="326"/>
      <c r="D10" s="259" t="s">
        <v>147</v>
      </c>
      <c r="E10" s="327"/>
      <c r="F10" s="327"/>
      <c r="G10" s="327"/>
      <c r="H10" s="327">
        <f>+G10-F10</f>
        <v>0</v>
      </c>
      <c r="I10" s="327">
        <f aca="true" t="shared" si="0" ref="I10:I41">G10-E10</f>
        <v>0</v>
      </c>
      <c r="J10" s="327"/>
      <c r="K10" s="327"/>
      <c r="L10" s="327"/>
      <c r="M10" s="349"/>
    </row>
    <row r="11" spans="1:13" s="328" customFormat="1" ht="13.5" customHeight="1">
      <c r="A11" s="1026"/>
      <c r="B11" s="1017"/>
      <c r="C11" s="329"/>
      <c r="D11" s="260"/>
      <c r="E11" s="330"/>
      <c r="F11" s="330"/>
      <c r="G11" s="330"/>
      <c r="H11" s="330">
        <f aca="true" t="shared" si="1" ref="H11:H79">+G11-F11</f>
        <v>0</v>
      </c>
      <c r="I11" s="330">
        <f t="shared" si="0"/>
        <v>0</v>
      </c>
      <c r="J11" s="330"/>
      <c r="K11" s="330"/>
      <c r="L11" s="330"/>
      <c r="M11" s="349"/>
    </row>
    <row r="12" spans="1:13" s="328" customFormat="1" ht="14.25" customHeight="1">
      <c r="A12" s="1026"/>
      <c r="B12" s="1017"/>
      <c r="C12" s="329"/>
      <c r="D12" s="261" t="s">
        <v>12</v>
      </c>
      <c r="E12" s="330"/>
      <c r="F12" s="330"/>
      <c r="G12" s="330"/>
      <c r="H12" s="330">
        <f t="shared" si="1"/>
        <v>0</v>
      </c>
      <c r="I12" s="330">
        <f t="shared" si="0"/>
        <v>0</v>
      </c>
      <c r="J12" s="330"/>
      <c r="K12" s="330"/>
      <c r="L12" s="330"/>
      <c r="M12" s="349"/>
    </row>
    <row r="13" spans="1:13" s="332" customFormat="1" ht="14.25" customHeight="1">
      <c r="A13" s="1026"/>
      <c r="B13" s="1017"/>
      <c r="C13" s="329"/>
      <c r="D13" s="260"/>
      <c r="E13" s="330"/>
      <c r="F13" s="330"/>
      <c r="G13" s="330"/>
      <c r="H13" s="330">
        <f t="shared" si="1"/>
        <v>0</v>
      </c>
      <c r="I13" s="330">
        <f t="shared" si="0"/>
        <v>0</v>
      </c>
      <c r="J13" s="330"/>
      <c r="K13" s="330"/>
      <c r="L13" s="330"/>
      <c r="M13" s="331"/>
    </row>
    <row r="14" spans="1:13" s="325" customFormat="1" ht="14.25" customHeight="1">
      <c r="A14" s="1026"/>
      <c r="B14" s="1017"/>
      <c r="C14" s="371"/>
      <c r="D14" s="316" t="s">
        <v>13</v>
      </c>
      <c r="E14" s="372">
        <f>E16+E89</f>
        <v>1021154.1299999999</v>
      </c>
      <c r="F14" s="373">
        <f>+F16+F89</f>
        <v>1170995.3000000003</v>
      </c>
      <c r="G14" s="373">
        <f>G16+G89</f>
        <v>1028685.173607066</v>
      </c>
      <c r="H14" s="373">
        <f>G14-F14</f>
        <v>-142310.12639293424</v>
      </c>
      <c r="I14" s="373">
        <f>G14-E14</f>
        <v>7531.043607066153</v>
      </c>
      <c r="J14" s="373"/>
      <c r="K14" s="373">
        <f>K16+K89</f>
        <v>1028483.2635133334</v>
      </c>
      <c r="L14" s="373">
        <f>L16+L89</f>
        <v>1038236.455406667</v>
      </c>
      <c r="M14" s="335"/>
    </row>
    <row r="15" spans="1:13" s="325" customFormat="1" ht="14.25" customHeight="1">
      <c r="A15" s="1026"/>
      <c r="B15" s="1017"/>
      <c r="C15" s="333"/>
      <c r="D15" s="334" t="s">
        <v>176</v>
      </c>
      <c r="E15" s="330"/>
      <c r="F15" s="330"/>
      <c r="G15" s="330"/>
      <c r="H15" s="330"/>
      <c r="I15" s="330"/>
      <c r="J15" s="330"/>
      <c r="K15" s="330"/>
      <c r="L15" s="330"/>
      <c r="M15" s="335"/>
    </row>
    <row r="16" spans="1:13" s="325" customFormat="1" ht="14.25" customHeight="1">
      <c r="A16" s="1026"/>
      <c r="B16" s="1017"/>
      <c r="C16" s="374"/>
      <c r="D16" s="283" t="s">
        <v>16</v>
      </c>
      <c r="E16" s="372">
        <f>E18+E24+E29+E33+E34+E35+E37+E42+E43+E44+E45+E47+E48+E54+E58+E61+E64+E66+E78</f>
        <v>1019078.1299999999</v>
      </c>
      <c r="F16" s="373">
        <f>F18+F24+F29+F33+F34+F35+F37+F42+F43+F44+F45+F46+F47+F48+F54+F58+F59+F64++++F66+F78</f>
        <v>1056063.7000000002</v>
      </c>
      <c r="G16" s="373">
        <f>G18+G24+G29+G33+G34+G35+G37+G42+G43+G44+G45+G46+G47+G48+G54+G58+G59+G64++++G66+G78</f>
        <v>1026570.173607066</v>
      </c>
      <c r="H16" s="373">
        <f>G16-F16</f>
        <v>-29493.526392934145</v>
      </c>
      <c r="I16" s="373">
        <f>G16-E16</f>
        <v>7492.043607066153</v>
      </c>
      <c r="J16" s="373"/>
      <c r="K16" s="373">
        <f>K18+K24+K29+K33+K34+K35+K37+K42+K43+K44+K45+K47+K48+K54+K58+K59+K64+K66+K78</f>
        <v>1027583.2635133334</v>
      </c>
      <c r="L16" s="373">
        <f>L18+L24+L29+L33+L34+L35+L37+L42+L43+L44+L45+L47+L48+L54+L58+L59+L64+L66+L78</f>
        <v>1038236.455406667</v>
      </c>
      <c r="M16" s="335"/>
    </row>
    <row r="17" spans="1:13" s="325" customFormat="1" ht="13.5" customHeight="1">
      <c r="A17" s="1026"/>
      <c r="B17" s="1017"/>
      <c r="C17" s="326"/>
      <c r="D17" s="260" t="s">
        <v>52</v>
      </c>
      <c r="E17" s="327"/>
      <c r="F17" s="327"/>
      <c r="G17" s="330"/>
      <c r="H17" s="330">
        <f>+G17-F17</f>
        <v>0</v>
      </c>
      <c r="I17" s="330">
        <f>G17-E17</f>
        <v>0</v>
      </c>
      <c r="J17" s="327"/>
      <c r="K17" s="330"/>
      <c r="L17" s="330"/>
      <c r="M17" s="335"/>
    </row>
    <row r="18" spans="1:13" s="325" customFormat="1" ht="17.25">
      <c r="A18" s="1026"/>
      <c r="B18" s="1017"/>
      <c r="C18" s="375"/>
      <c r="D18" s="283" t="s">
        <v>928</v>
      </c>
      <c r="E18" s="376">
        <f>SUM(E20:E23)</f>
        <v>920474.69</v>
      </c>
      <c r="F18" s="343">
        <f>SUM(F20:F23)</f>
        <v>900400.1</v>
      </c>
      <c r="G18" s="343">
        <f>SUM(G20:G23)</f>
        <v>869100.5617</v>
      </c>
      <c r="H18" s="343">
        <f>+G18-F18</f>
        <v>-31299.538300000015</v>
      </c>
      <c r="I18" s="343">
        <f>G18-E18</f>
        <v>-51374.12829999998</v>
      </c>
      <c r="J18" s="343"/>
      <c r="K18" s="343">
        <f>SUM(K20:K23)</f>
        <v>873137.2371133333</v>
      </c>
      <c r="L18" s="343">
        <f>SUM(L20:L23)</f>
        <v>877375.9554066668</v>
      </c>
      <c r="M18" s="335"/>
    </row>
    <row r="19" spans="1:14" s="325" customFormat="1" ht="18" thickBot="1">
      <c r="A19" s="336"/>
      <c r="B19" s="337"/>
      <c r="C19" s="326"/>
      <c r="D19" s="260" t="s">
        <v>52</v>
      </c>
      <c r="E19" s="327"/>
      <c r="F19" s="327"/>
      <c r="G19" s="330"/>
      <c r="H19" s="330">
        <f t="shared" si="1"/>
        <v>0</v>
      </c>
      <c r="I19" s="327">
        <f t="shared" si="0"/>
        <v>0</v>
      </c>
      <c r="J19" s="327"/>
      <c r="K19" s="330"/>
      <c r="L19" s="330"/>
      <c r="M19" s="338"/>
      <c r="N19" s="335"/>
    </row>
    <row r="20" spans="1:13" s="325" customFormat="1" ht="52.5" thickBot="1">
      <c r="A20" s="336"/>
      <c r="B20" s="337"/>
      <c r="C20" s="339" t="s">
        <v>139</v>
      </c>
      <c r="D20" s="262" t="s">
        <v>17</v>
      </c>
      <c r="E20" s="340">
        <v>608208.94</v>
      </c>
      <c r="F20" s="327">
        <v>783557.9</v>
      </c>
      <c r="G20" s="327">
        <f>'31աշխատավարձի ֆոնդ'!C30/1000</f>
        <v>756416.5249</v>
      </c>
      <c r="H20" s="327">
        <f t="shared" si="1"/>
        <v>-27141.375100000063</v>
      </c>
      <c r="I20" s="327">
        <f t="shared" si="0"/>
        <v>148207.58490000002</v>
      </c>
      <c r="J20" s="644" t="s">
        <v>1454</v>
      </c>
      <c r="K20" s="327">
        <f>'31աշխատավարձի ֆոնդ'!D30/1000</f>
        <v>759909.8044733333</v>
      </c>
      <c r="L20" s="327">
        <f>'31աշխատավարձի ֆոնդ'!E30/1000</f>
        <v>763589.5518866668</v>
      </c>
      <c r="M20" s="338"/>
    </row>
    <row r="21" spans="1:12" s="257" customFormat="1" ht="55.5" customHeight="1" thickBot="1">
      <c r="A21" s="336"/>
      <c r="B21" s="337"/>
      <c r="C21" s="339" t="s">
        <v>140</v>
      </c>
      <c r="D21" s="263" t="s">
        <v>18</v>
      </c>
      <c r="E21" s="340">
        <v>270720.55</v>
      </c>
      <c r="F21" s="327">
        <v>69092.6</v>
      </c>
      <c r="G21" s="327">
        <f>'31աշխատավարձի ֆոնդ'!C35/1000</f>
        <v>57127.408789999994</v>
      </c>
      <c r="H21" s="327">
        <f t="shared" si="1"/>
        <v>-11965.191210000012</v>
      </c>
      <c r="I21" s="327">
        <f t="shared" si="0"/>
        <v>-213593.14121</v>
      </c>
      <c r="J21" s="644" t="s">
        <v>1454</v>
      </c>
      <c r="K21" s="327">
        <f>'31աշխատավարձի ֆոնդ'!D35/1000</f>
        <v>57330.53327</v>
      </c>
      <c r="L21" s="327">
        <f>'31աշխատավարձի ֆոնդ'!E35/1000</f>
        <v>57530.84558999999</v>
      </c>
    </row>
    <row r="22" spans="1:12" s="257" customFormat="1" ht="60" customHeight="1" thickBot="1">
      <c r="A22" s="336"/>
      <c r="B22" s="337"/>
      <c r="C22" s="339" t="s">
        <v>141</v>
      </c>
      <c r="D22" s="263" t="s">
        <v>19</v>
      </c>
      <c r="E22" s="327">
        <v>41545.2</v>
      </c>
      <c r="F22" s="327">
        <v>47749.6</v>
      </c>
      <c r="G22" s="327">
        <f>'31աշխատավարձի ֆոնդ'!C33/1000</f>
        <v>55556.62801000001</v>
      </c>
      <c r="H22" s="327">
        <f>+G22-F22</f>
        <v>7807.028010000009</v>
      </c>
      <c r="I22" s="327">
        <f>G22-E22</f>
        <v>14011.42801000001</v>
      </c>
      <c r="J22" s="644" t="s">
        <v>1454</v>
      </c>
      <c r="K22" s="327">
        <f>'31աշխատավարձի ֆոնդ'!D33/1000</f>
        <v>55896.89937</v>
      </c>
      <c r="L22" s="327">
        <f>'31աշխատավարձի ֆոնդ'!E33/1000</f>
        <v>56255.55793000001</v>
      </c>
    </row>
    <row r="23" spans="1:12" s="257" customFormat="1" ht="27" customHeight="1">
      <c r="A23" s="336"/>
      <c r="B23" s="337"/>
      <c r="C23" s="339" t="s">
        <v>264</v>
      </c>
      <c r="D23" s="263" t="s">
        <v>265</v>
      </c>
      <c r="E23" s="327"/>
      <c r="F23" s="327"/>
      <c r="G23" s="327"/>
      <c r="H23" s="327">
        <f>+G23-F23</f>
        <v>0</v>
      </c>
      <c r="I23" s="327">
        <f>G23-E23</f>
        <v>0</v>
      </c>
      <c r="J23" s="327"/>
      <c r="K23" s="327"/>
      <c r="L23" s="327"/>
    </row>
    <row r="24" spans="1:13" s="257" customFormat="1" ht="17.25">
      <c r="A24" s="336"/>
      <c r="B24" s="337"/>
      <c r="C24" s="342">
        <v>4212</v>
      </c>
      <c r="D24" s="283" t="s">
        <v>20</v>
      </c>
      <c r="E24" s="376">
        <f>E26+E27+E28</f>
        <v>2240.2400000000002</v>
      </c>
      <c r="F24" s="343">
        <v>4069.8</v>
      </c>
      <c r="G24" s="343">
        <f>G26+G27+G28</f>
        <v>4069.7655070660003</v>
      </c>
      <c r="H24" s="343">
        <f t="shared" si="1"/>
        <v>-0.03449293399989983</v>
      </c>
      <c r="I24" s="343">
        <f t="shared" si="0"/>
        <v>1829.525507066</v>
      </c>
      <c r="J24" s="343"/>
      <c r="K24" s="343">
        <f>K26+K27+K28</f>
        <v>4069.8</v>
      </c>
      <c r="L24" s="343">
        <f>L26+L27+L28</f>
        <v>4069.8</v>
      </c>
      <c r="M24" s="341"/>
    </row>
    <row r="25" spans="1:12" s="257" customFormat="1" ht="17.25">
      <c r="A25" s="336"/>
      <c r="B25" s="337"/>
      <c r="C25" s="339"/>
      <c r="D25" s="260" t="s">
        <v>52</v>
      </c>
      <c r="E25" s="272"/>
      <c r="F25" s="272"/>
      <c r="G25" s="272"/>
      <c r="H25" s="272">
        <f t="shared" si="1"/>
        <v>0</v>
      </c>
      <c r="I25" s="272">
        <f t="shared" si="0"/>
        <v>0</v>
      </c>
      <c r="J25" s="272"/>
      <c r="K25" s="272"/>
      <c r="L25" s="272"/>
    </row>
    <row r="26" spans="1:12" s="257" customFormat="1" ht="17.25">
      <c r="A26" s="336"/>
      <c r="B26" s="337"/>
      <c r="C26" s="339"/>
      <c r="D26" s="260" t="s">
        <v>20</v>
      </c>
      <c r="E26" s="272">
        <v>1598.64</v>
      </c>
      <c r="F26" s="272">
        <v>3441.3</v>
      </c>
      <c r="G26" s="272">
        <f>'7-էլ-էներգիա'!I19</f>
        <v>3441.2792071840004</v>
      </c>
      <c r="H26" s="272">
        <f t="shared" si="1"/>
        <v>-0.020792815999811864</v>
      </c>
      <c r="I26" s="272">
        <f t="shared" si="0"/>
        <v>1842.6392071840003</v>
      </c>
      <c r="J26" s="272"/>
      <c r="K26" s="272">
        <v>3441.3</v>
      </c>
      <c r="L26" s="272">
        <v>3441.3</v>
      </c>
    </row>
    <row r="27" spans="1:12" s="257" customFormat="1" ht="34.5">
      <c r="A27" s="336"/>
      <c r="B27" s="337"/>
      <c r="C27" s="339"/>
      <c r="D27" s="260" t="s">
        <v>148</v>
      </c>
      <c r="E27" s="272"/>
      <c r="F27" s="272"/>
      <c r="G27" s="272"/>
      <c r="H27" s="272">
        <f t="shared" si="1"/>
        <v>0</v>
      </c>
      <c r="I27" s="272">
        <f t="shared" si="0"/>
        <v>0</v>
      </c>
      <c r="J27" s="272"/>
      <c r="K27" s="272"/>
      <c r="L27" s="272"/>
    </row>
    <row r="28" spans="1:13" s="257" customFormat="1" ht="17.25">
      <c r="A28" s="336"/>
      <c r="B28" s="337"/>
      <c r="C28" s="339"/>
      <c r="D28" s="260" t="s">
        <v>177</v>
      </c>
      <c r="E28" s="272">
        <v>641.6</v>
      </c>
      <c r="F28" s="272">
        <v>628.5</v>
      </c>
      <c r="G28" s="272">
        <f>'9-գազով ջեռուցում'!M15</f>
        <v>628.486299882</v>
      </c>
      <c r="H28" s="272">
        <f t="shared" si="1"/>
        <v>-0.013700117999974282</v>
      </c>
      <c r="I28" s="272">
        <f t="shared" si="0"/>
        <v>-13.113700117999997</v>
      </c>
      <c r="J28" s="272"/>
      <c r="K28" s="272">
        <v>628.5</v>
      </c>
      <c r="L28" s="272">
        <v>628.5</v>
      </c>
      <c r="M28" s="352"/>
    </row>
    <row r="29" spans="1:12" s="257" customFormat="1" ht="69">
      <c r="A29" s="336"/>
      <c r="B29" s="337"/>
      <c r="C29" s="342">
        <v>4213</v>
      </c>
      <c r="D29" s="283" t="s">
        <v>21</v>
      </c>
      <c r="E29" s="343">
        <f>E31+E32</f>
        <v>50</v>
      </c>
      <c r="F29" s="343">
        <f>F31+F32</f>
        <v>0</v>
      </c>
      <c r="G29" s="343">
        <f>G31+G32</f>
        <v>80</v>
      </c>
      <c r="H29" s="343">
        <f t="shared" si="1"/>
        <v>80</v>
      </c>
      <c r="I29" s="343">
        <f t="shared" si="0"/>
        <v>30</v>
      </c>
      <c r="J29" s="343" t="s">
        <v>1452</v>
      </c>
      <c r="K29" s="343">
        <f>K31+K32</f>
        <v>80</v>
      </c>
      <c r="L29" s="343">
        <f>L31+L32</f>
        <v>80</v>
      </c>
    </row>
    <row r="30" spans="1:12" s="257" customFormat="1" ht="17.25">
      <c r="A30" s="336"/>
      <c r="B30" s="337"/>
      <c r="C30" s="339"/>
      <c r="D30" s="260" t="s">
        <v>52</v>
      </c>
      <c r="E30" s="272"/>
      <c r="F30" s="272"/>
      <c r="G30" s="272"/>
      <c r="H30" s="272">
        <f t="shared" si="1"/>
        <v>0</v>
      </c>
      <c r="I30" s="272">
        <f t="shared" si="0"/>
        <v>0</v>
      </c>
      <c r="J30" s="272"/>
      <c r="K30" s="272"/>
      <c r="L30" s="272"/>
    </row>
    <row r="31" spans="1:12" s="257" customFormat="1" ht="34.5">
      <c r="A31" s="336"/>
      <c r="B31" s="337"/>
      <c r="C31" s="339"/>
      <c r="D31" s="264" t="s">
        <v>22</v>
      </c>
      <c r="E31" s="272"/>
      <c r="F31" s="272"/>
      <c r="G31" s="272"/>
      <c r="H31" s="272">
        <f t="shared" si="1"/>
        <v>0</v>
      </c>
      <c r="I31" s="272">
        <f t="shared" si="0"/>
        <v>0</v>
      </c>
      <c r="J31" s="272"/>
      <c r="K31" s="272"/>
      <c r="L31" s="272"/>
    </row>
    <row r="32" spans="1:12" s="257" customFormat="1" ht="34.5">
      <c r="A32" s="336"/>
      <c r="B32" s="337"/>
      <c r="C32" s="339"/>
      <c r="D32" s="264" t="s">
        <v>142</v>
      </c>
      <c r="E32" s="272">
        <v>50</v>
      </c>
      <c r="F32" s="272"/>
      <c r="G32" s="272">
        <v>80</v>
      </c>
      <c r="H32" s="272">
        <f t="shared" si="1"/>
        <v>80</v>
      </c>
      <c r="I32" s="272">
        <f t="shared" si="0"/>
        <v>30</v>
      </c>
      <c r="J32" s="272"/>
      <c r="K32" s="272">
        <v>80</v>
      </c>
      <c r="L32" s="272">
        <v>80</v>
      </c>
    </row>
    <row r="33" spans="1:13" s="257" customFormat="1" ht="69">
      <c r="A33" s="336"/>
      <c r="B33" s="337"/>
      <c r="C33" s="339">
        <v>4214</v>
      </c>
      <c r="D33" s="265" t="s">
        <v>23</v>
      </c>
      <c r="E33" s="344">
        <v>3464.65</v>
      </c>
      <c r="F33" s="272">
        <v>4366</v>
      </c>
      <c r="G33" s="272">
        <f>'3-Ծախսերի բացվածք'!L19</f>
        <v>6823.326400000001</v>
      </c>
      <c r="H33" s="272">
        <f t="shared" si="1"/>
        <v>2457.326400000001</v>
      </c>
      <c r="I33" s="272">
        <f t="shared" si="0"/>
        <v>3358.6764000000007</v>
      </c>
      <c r="J33" s="272" t="s">
        <v>1456</v>
      </c>
      <c r="K33" s="272">
        <f>'3-Ծախսերի բացվածք'!L19</f>
        <v>6823.326400000001</v>
      </c>
      <c r="L33" s="272">
        <v>6823.3</v>
      </c>
      <c r="M33" s="352"/>
    </row>
    <row r="34" spans="1:12" s="325" customFormat="1" ht="23.25" customHeight="1">
      <c r="A34" s="336"/>
      <c r="B34" s="337"/>
      <c r="C34" s="339">
        <v>4215</v>
      </c>
      <c r="D34" s="265" t="s">
        <v>24</v>
      </c>
      <c r="E34" s="272">
        <v>356</v>
      </c>
      <c r="F34" s="272">
        <v>360</v>
      </c>
      <c r="G34" s="272">
        <v>360</v>
      </c>
      <c r="H34" s="272">
        <f t="shared" si="1"/>
        <v>0</v>
      </c>
      <c r="I34" s="272">
        <f t="shared" si="0"/>
        <v>4</v>
      </c>
      <c r="J34" s="272"/>
      <c r="K34" s="272">
        <v>360</v>
      </c>
      <c r="L34" s="272">
        <v>360</v>
      </c>
    </row>
    <row r="35" spans="1:12" s="328" customFormat="1" ht="34.5">
      <c r="A35" s="336"/>
      <c r="B35" s="337"/>
      <c r="C35" s="346">
        <v>4216</v>
      </c>
      <c r="D35" s="176" t="s">
        <v>25</v>
      </c>
      <c r="E35" s="347">
        <v>37699.55</v>
      </c>
      <c r="F35" s="348">
        <v>44484</v>
      </c>
      <c r="G35" s="348">
        <v>44484</v>
      </c>
      <c r="H35" s="348">
        <f t="shared" si="1"/>
        <v>0</v>
      </c>
      <c r="I35" s="348">
        <f t="shared" si="0"/>
        <v>6784.449999999997</v>
      </c>
      <c r="J35" s="348"/>
      <c r="K35" s="348">
        <v>44484</v>
      </c>
      <c r="L35" s="348">
        <v>44484</v>
      </c>
    </row>
    <row r="36" spans="1:12" s="328" customFormat="1" ht="17.25">
      <c r="A36" s="336"/>
      <c r="B36" s="337"/>
      <c r="C36" s="339">
        <v>4217</v>
      </c>
      <c r="D36" s="265" t="s">
        <v>26</v>
      </c>
      <c r="E36" s="272"/>
      <c r="F36" s="272"/>
      <c r="G36" s="272"/>
      <c r="H36" s="272">
        <f t="shared" si="1"/>
        <v>0</v>
      </c>
      <c r="I36" s="272">
        <f t="shared" si="0"/>
        <v>0</v>
      </c>
      <c r="J36" s="272"/>
      <c r="K36" s="272"/>
      <c r="L36" s="272"/>
    </row>
    <row r="37" spans="1:13" s="328" customFormat="1" ht="34.5">
      <c r="A37" s="336"/>
      <c r="B37" s="337"/>
      <c r="C37" s="342"/>
      <c r="D37" s="283" t="s">
        <v>187</v>
      </c>
      <c r="E37" s="376">
        <f>E39+E40</f>
        <v>29726.22</v>
      </c>
      <c r="F37" s="343">
        <f>F39+F40</f>
        <v>73160.6</v>
      </c>
      <c r="G37" s="343">
        <f>G39+G40</f>
        <v>71328</v>
      </c>
      <c r="H37" s="343">
        <f t="shared" si="1"/>
        <v>-1832.6000000000058</v>
      </c>
      <c r="I37" s="343">
        <f t="shared" si="0"/>
        <v>41601.78</v>
      </c>
      <c r="J37" s="343"/>
      <c r="K37" s="343">
        <f>K39+K40</f>
        <v>68034</v>
      </c>
      <c r="L37" s="343">
        <f>L39+L40</f>
        <v>74799</v>
      </c>
      <c r="M37" s="349"/>
    </row>
    <row r="38" spans="1:12" s="328" customFormat="1" ht="17.25">
      <c r="A38" s="336"/>
      <c r="B38" s="337"/>
      <c r="C38" s="339"/>
      <c r="D38" s="260" t="s">
        <v>52</v>
      </c>
      <c r="E38" s="330"/>
      <c r="F38" s="330"/>
      <c r="G38" s="330"/>
      <c r="H38" s="330">
        <f t="shared" si="1"/>
        <v>0</v>
      </c>
      <c r="I38" s="330">
        <f t="shared" si="0"/>
        <v>0</v>
      </c>
      <c r="J38" s="330"/>
      <c r="K38" s="330"/>
      <c r="L38" s="330"/>
    </row>
    <row r="39" spans="1:13" s="328" customFormat="1" ht="62.25" customHeight="1">
      <c r="A39" s="336"/>
      <c r="B39" s="337"/>
      <c r="C39" s="339">
        <v>4221</v>
      </c>
      <c r="D39" s="260" t="s">
        <v>27</v>
      </c>
      <c r="E39" s="330">
        <v>7465.5</v>
      </c>
      <c r="F39" s="330">
        <v>17604</v>
      </c>
      <c r="G39" s="330">
        <f>'10-գործուղում'!U23</f>
        <v>17208</v>
      </c>
      <c r="H39" s="330">
        <f t="shared" si="1"/>
        <v>-396</v>
      </c>
      <c r="I39" s="330">
        <f t="shared" si="0"/>
        <v>9742.5</v>
      </c>
      <c r="J39" s="330"/>
      <c r="K39" s="330">
        <v>17604</v>
      </c>
      <c r="L39" s="330">
        <v>17604</v>
      </c>
      <c r="M39" s="349"/>
    </row>
    <row r="40" spans="1:13" s="328" customFormat="1" ht="34.5">
      <c r="A40" s="336"/>
      <c r="B40" s="337"/>
      <c r="C40" s="339">
        <v>4222</v>
      </c>
      <c r="D40" s="260" t="s">
        <v>28</v>
      </c>
      <c r="E40" s="350">
        <v>22260.72</v>
      </c>
      <c r="F40" s="330">
        <v>55556.6</v>
      </c>
      <c r="G40" s="330">
        <f>'գործուղում 4222'!H27</f>
        <v>54120</v>
      </c>
      <c r="H40" s="330">
        <f t="shared" si="1"/>
        <v>-1436.5999999999985</v>
      </c>
      <c r="I40" s="330">
        <f t="shared" si="0"/>
        <v>31859.28</v>
      </c>
      <c r="J40" s="330"/>
      <c r="K40" s="330">
        <f>'գործուղում 4222'!H54</f>
        <v>50430</v>
      </c>
      <c r="L40" s="330">
        <f>'գործուղում 4222'!H84</f>
        <v>57195</v>
      </c>
      <c r="M40" s="349"/>
    </row>
    <row r="41" spans="1:12" s="257" customFormat="1" ht="19.5" customHeight="1">
      <c r="A41" s="336"/>
      <c r="B41" s="337"/>
      <c r="C41" s="339">
        <v>4231</v>
      </c>
      <c r="D41" s="261" t="s">
        <v>29</v>
      </c>
      <c r="E41" s="330"/>
      <c r="F41" s="330"/>
      <c r="G41" s="330"/>
      <c r="H41" s="330">
        <f t="shared" si="1"/>
        <v>0</v>
      </c>
      <c r="I41" s="330">
        <f t="shared" si="0"/>
        <v>0</v>
      </c>
      <c r="J41" s="330"/>
      <c r="K41" s="330"/>
      <c r="L41" s="330"/>
    </row>
    <row r="42" spans="1:13" s="257" customFormat="1" ht="86.25">
      <c r="A42" s="336"/>
      <c r="B42" s="337"/>
      <c r="C42" s="346">
        <v>4232</v>
      </c>
      <c r="D42" s="176" t="s">
        <v>30</v>
      </c>
      <c r="E42" s="347">
        <v>6771.45</v>
      </c>
      <c r="F42" s="348">
        <v>7559.8</v>
      </c>
      <c r="G42" s="348">
        <f>'3-Ծախսերի բացվածք'!L47</f>
        <v>8689</v>
      </c>
      <c r="H42" s="348">
        <f t="shared" si="1"/>
        <v>1129.1999999999998</v>
      </c>
      <c r="I42" s="348">
        <f aca="true" t="shared" si="2" ref="I42:I79">G42-E42</f>
        <v>1917.5500000000002</v>
      </c>
      <c r="J42" s="515" t="s">
        <v>1114</v>
      </c>
      <c r="K42" s="348">
        <v>8689</v>
      </c>
      <c r="L42" s="348">
        <v>8689</v>
      </c>
      <c r="M42" s="352"/>
    </row>
    <row r="43" spans="1:13" s="257" customFormat="1" ht="56.25" customHeight="1">
      <c r="A43" s="336"/>
      <c r="B43" s="337"/>
      <c r="C43" s="339">
        <v>4233</v>
      </c>
      <c r="D43" s="261" t="s">
        <v>172</v>
      </c>
      <c r="E43" s="350">
        <v>323.7</v>
      </c>
      <c r="F43" s="330">
        <v>806.4</v>
      </c>
      <c r="G43" s="330">
        <f>'16վերապատրաստում'!F15</f>
        <v>945</v>
      </c>
      <c r="H43" s="330">
        <f t="shared" si="1"/>
        <v>138.60000000000002</v>
      </c>
      <c r="I43" s="330">
        <f t="shared" si="2"/>
        <v>621.3</v>
      </c>
      <c r="J43" s="351" t="s">
        <v>1453</v>
      </c>
      <c r="K43" s="330">
        <v>806.4</v>
      </c>
      <c r="L43" s="330">
        <v>806.4</v>
      </c>
      <c r="M43" s="352"/>
    </row>
    <row r="44" spans="1:12" s="257" customFormat="1" ht="18.75" customHeight="1">
      <c r="A44" s="336"/>
      <c r="B44" s="337"/>
      <c r="C44" s="339">
        <v>4234</v>
      </c>
      <c r="D44" s="261" t="s">
        <v>31</v>
      </c>
      <c r="E44" s="344">
        <v>360</v>
      </c>
      <c r="F44" s="272">
        <v>680</v>
      </c>
      <c r="G44" s="272">
        <v>680</v>
      </c>
      <c r="H44" s="272">
        <f t="shared" si="1"/>
        <v>0</v>
      </c>
      <c r="I44" s="272">
        <f t="shared" si="2"/>
        <v>320</v>
      </c>
      <c r="J44" s="272"/>
      <c r="K44" s="272">
        <v>680</v>
      </c>
      <c r="L44" s="330">
        <v>680</v>
      </c>
    </row>
    <row r="45" spans="1:13" s="325" customFormat="1" ht="18.75" customHeight="1">
      <c r="A45" s="336"/>
      <c r="B45" s="337"/>
      <c r="C45" s="339">
        <v>4235</v>
      </c>
      <c r="D45" s="261" t="s">
        <v>32</v>
      </c>
      <c r="E45" s="272">
        <v>540</v>
      </c>
      <c r="F45" s="272">
        <v>948</v>
      </c>
      <c r="G45" s="272">
        <v>948</v>
      </c>
      <c r="H45" s="272">
        <f t="shared" si="1"/>
        <v>0</v>
      </c>
      <c r="I45" s="272">
        <f t="shared" si="2"/>
        <v>408</v>
      </c>
      <c r="J45" s="272"/>
      <c r="K45" s="272">
        <v>948</v>
      </c>
      <c r="L45" s="272">
        <v>948</v>
      </c>
      <c r="M45" s="335"/>
    </row>
    <row r="46" spans="1:12" s="257" customFormat="1" ht="34.5">
      <c r="A46" s="336"/>
      <c r="B46" s="337"/>
      <c r="C46" s="339">
        <v>4236</v>
      </c>
      <c r="D46" s="261" t="s">
        <v>33</v>
      </c>
      <c r="E46" s="272"/>
      <c r="F46" s="272"/>
      <c r="G46" s="272"/>
      <c r="H46" s="272">
        <f t="shared" si="1"/>
        <v>0</v>
      </c>
      <c r="I46" s="272">
        <f t="shared" si="2"/>
        <v>0</v>
      </c>
      <c r="J46" s="272"/>
      <c r="K46" s="272"/>
      <c r="L46" s="272"/>
    </row>
    <row r="47" spans="1:12" s="325" customFormat="1" ht="30.75" customHeight="1">
      <c r="A47" s="336"/>
      <c r="B47" s="337"/>
      <c r="C47" s="339">
        <v>4237</v>
      </c>
      <c r="D47" s="261" t="s">
        <v>34</v>
      </c>
      <c r="E47" s="344">
        <v>618.92</v>
      </c>
      <c r="F47" s="272">
        <v>1500</v>
      </c>
      <c r="G47" s="272">
        <v>1500</v>
      </c>
      <c r="H47" s="272">
        <f t="shared" si="1"/>
        <v>0</v>
      </c>
      <c r="I47" s="272">
        <f t="shared" si="2"/>
        <v>881.08</v>
      </c>
      <c r="J47" s="272"/>
      <c r="K47" s="272">
        <v>1500</v>
      </c>
      <c r="L47" s="272">
        <v>1500</v>
      </c>
    </row>
    <row r="48" spans="1:13" s="325" customFormat="1" ht="48.75" customHeight="1">
      <c r="A48" s="336"/>
      <c r="B48" s="337"/>
      <c r="C48" s="342">
        <v>4239</v>
      </c>
      <c r="D48" s="283" t="s">
        <v>35</v>
      </c>
      <c r="E48" s="343">
        <f>E50+E51+E52</f>
        <v>1042</v>
      </c>
      <c r="F48" s="343">
        <v>420</v>
      </c>
      <c r="G48" s="343">
        <f>G50+G51</f>
        <v>420</v>
      </c>
      <c r="H48" s="343">
        <f t="shared" si="1"/>
        <v>0</v>
      </c>
      <c r="I48" s="343">
        <f t="shared" si="2"/>
        <v>-622</v>
      </c>
      <c r="J48" s="343"/>
      <c r="K48" s="343">
        <f>K50+K51</f>
        <v>770</v>
      </c>
      <c r="L48" s="343">
        <f>L50+L51</f>
        <v>420</v>
      </c>
      <c r="M48" s="335"/>
    </row>
    <row r="49" spans="1:12" s="325" customFormat="1" ht="27" customHeight="1">
      <c r="A49" s="336"/>
      <c r="B49" s="337"/>
      <c r="C49" s="339"/>
      <c r="D49" s="259" t="s">
        <v>929</v>
      </c>
      <c r="E49" s="327"/>
      <c r="F49" s="327"/>
      <c r="G49" s="327"/>
      <c r="H49" s="272">
        <f t="shared" si="1"/>
        <v>0</v>
      </c>
      <c r="I49" s="272">
        <f t="shared" si="2"/>
        <v>0</v>
      </c>
      <c r="J49" s="327"/>
      <c r="K49" s="327"/>
      <c r="L49" s="327"/>
    </row>
    <row r="50" spans="1:12" s="325" customFormat="1" ht="51.75" customHeight="1">
      <c r="A50" s="336"/>
      <c r="B50" s="337"/>
      <c r="C50" s="339"/>
      <c r="D50" s="259" t="s">
        <v>930</v>
      </c>
      <c r="E50" s="327">
        <v>420</v>
      </c>
      <c r="F50" s="327">
        <v>420</v>
      </c>
      <c r="G50" s="327">
        <v>420</v>
      </c>
      <c r="H50" s="272">
        <f t="shared" si="1"/>
        <v>0</v>
      </c>
      <c r="I50" s="272">
        <f t="shared" si="2"/>
        <v>0</v>
      </c>
      <c r="J50" s="327"/>
      <c r="K50" s="327">
        <v>420</v>
      </c>
      <c r="L50" s="327">
        <v>420</v>
      </c>
    </row>
    <row r="51" spans="1:12" s="325" customFormat="1" ht="17.25" customHeight="1">
      <c r="A51" s="336"/>
      <c r="B51" s="337"/>
      <c r="C51" s="339"/>
      <c r="D51" s="259" t="s">
        <v>931</v>
      </c>
      <c r="E51" s="327">
        <v>350</v>
      </c>
      <c r="F51" s="327"/>
      <c r="G51" s="327">
        <v>0</v>
      </c>
      <c r="H51" s="272">
        <f t="shared" si="1"/>
        <v>0</v>
      </c>
      <c r="I51" s="327">
        <f t="shared" si="2"/>
        <v>-350</v>
      </c>
      <c r="J51" s="327"/>
      <c r="K51" s="327">
        <v>350</v>
      </c>
      <c r="L51" s="327"/>
    </row>
    <row r="52" spans="1:12" s="325" customFormat="1" ht="30.75" customHeight="1">
      <c r="A52" s="336"/>
      <c r="B52" s="337"/>
      <c r="C52" s="339"/>
      <c r="D52" s="259" t="s">
        <v>978</v>
      </c>
      <c r="E52" s="327">
        <v>272</v>
      </c>
      <c r="F52" s="327"/>
      <c r="G52" s="327">
        <v>0</v>
      </c>
      <c r="H52" s="272">
        <f t="shared" si="1"/>
        <v>0</v>
      </c>
      <c r="I52" s="327">
        <f t="shared" si="2"/>
        <v>-272</v>
      </c>
      <c r="J52" s="327"/>
      <c r="K52" s="327">
        <v>0</v>
      </c>
      <c r="L52" s="327">
        <v>0</v>
      </c>
    </row>
    <row r="53" spans="1:12" s="325" customFormat="1" ht="36" customHeight="1">
      <c r="A53" s="336"/>
      <c r="B53" s="337"/>
      <c r="C53" s="339">
        <v>4241</v>
      </c>
      <c r="D53" s="261" t="s">
        <v>36</v>
      </c>
      <c r="E53" s="272"/>
      <c r="F53" s="272"/>
      <c r="G53" s="272"/>
      <c r="H53" s="272">
        <f t="shared" si="1"/>
        <v>0</v>
      </c>
      <c r="I53" s="272">
        <f t="shared" si="2"/>
        <v>0</v>
      </c>
      <c r="J53" s="272"/>
      <c r="K53" s="272"/>
      <c r="L53" s="272"/>
    </row>
    <row r="54" spans="1:13" s="325" customFormat="1" ht="34.5">
      <c r="A54" s="336"/>
      <c r="B54" s="337"/>
      <c r="C54" s="342">
        <v>4252</v>
      </c>
      <c r="D54" s="283" t="s">
        <v>38</v>
      </c>
      <c r="E54" s="343">
        <f>E56+E57</f>
        <v>2585.58</v>
      </c>
      <c r="F54" s="343">
        <f>F56+F57</f>
        <v>2590</v>
      </c>
      <c r="G54" s="343">
        <f>G56+G57</f>
        <v>2450</v>
      </c>
      <c r="H54" s="343">
        <f>H56+H57+++H58</f>
        <v>-140</v>
      </c>
      <c r="I54" s="343">
        <f>G54-E54</f>
        <v>-135.57999999999993</v>
      </c>
      <c r="J54" s="343"/>
      <c r="K54" s="343">
        <f>K56+K57</f>
        <v>2590</v>
      </c>
      <c r="L54" s="343">
        <f>L56+L57</f>
        <v>2590</v>
      </c>
      <c r="M54" s="640"/>
    </row>
    <row r="55" spans="1:12" s="325" customFormat="1" ht="17.25">
      <c r="A55" s="336"/>
      <c r="B55" s="337"/>
      <c r="C55" s="339"/>
      <c r="D55" s="260" t="s">
        <v>52</v>
      </c>
      <c r="E55" s="327"/>
      <c r="F55" s="327"/>
      <c r="G55" s="327"/>
      <c r="H55" s="327">
        <f t="shared" si="1"/>
        <v>0</v>
      </c>
      <c r="I55" s="327">
        <f t="shared" si="2"/>
        <v>0</v>
      </c>
      <c r="J55" s="327"/>
      <c r="K55" s="327"/>
      <c r="L55" s="327"/>
    </row>
    <row r="56" spans="1:12" s="325" customFormat="1" ht="34.5">
      <c r="A56" s="336"/>
      <c r="B56" s="337"/>
      <c r="C56" s="339"/>
      <c r="D56" s="517" t="s">
        <v>39</v>
      </c>
      <c r="E56" s="340">
        <v>2389.58</v>
      </c>
      <c r="F56" s="327">
        <v>2390</v>
      </c>
      <c r="G56" s="327">
        <f>'3-Ծախսերի բացվածք'!L99</f>
        <v>2250</v>
      </c>
      <c r="H56" s="327">
        <f>+G56-F56</f>
        <v>-140</v>
      </c>
      <c r="I56" s="327">
        <f>G56-E56</f>
        <v>-139.57999999999993</v>
      </c>
      <c r="J56" s="327"/>
      <c r="K56" s="327">
        <v>2390</v>
      </c>
      <c r="L56" s="327">
        <v>2390</v>
      </c>
    </row>
    <row r="57" spans="1:12" s="325" customFormat="1" ht="34.5">
      <c r="A57" s="336"/>
      <c r="B57" s="337"/>
      <c r="C57" s="339"/>
      <c r="D57" s="517" t="s">
        <v>40</v>
      </c>
      <c r="E57" s="327">
        <v>196</v>
      </c>
      <c r="F57" s="327">
        <v>200</v>
      </c>
      <c r="G57" s="327">
        <v>200</v>
      </c>
      <c r="H57" s="327">
        <f>+G57-F57</f>
        <v>0</v>
      </c>
      <c r="I57" s="327">
        <f>G57-E57</f>
        <v>4</v>
      </c>
      <c r="J57" s="327"/>
      <c r="K57" s="327">
        <v>200</v>
      </c>
      <c r="L57" s="327">
        <v>200</v>
      </c>
    </row>
    <row r="58" spans="1:12" s="325" customFormat="1" ht="34.5">
      <c r="A58" s="336"/>
      <c r="B58" s="337"/>
      <c r="C58" s="346">
        <v>4251</v>
      </c>
      <c r="D58" s="176" t="s">
        <v>37</v>
      </c>
      <c r="E58" s="348">
        <v>399</v>
      </c>
      <c r="F58" s="348">
        <v>720</v>
      </c>
      <c r="G58" s="348">
        <f>'3-Ծախսերի բացվածք'!L90</f>
        <v>720</v>
      </c>
      <c r="H58" s="348">
        <f>+G58-F58</f>
        <v>0</v>
      </c>
      <c r="I58" s="348">
        <f>G58-E58</f>
        <v>321</v>
      </c>
      <c r="J58" s="348"/>
      <c r="K58" s="348">
        <v>720</v>
      </c>
      <c r="L58" s="348">
        <v>720</v>
      </c>
    </row>
    <row r="59" spans="1:13" s="257" customFormat="1" ht="17.25">
      <c r="A59" s="336"/>
      <c r="B59" s="337"/>
      <c r="C59" s="342">
        <v>4261</v>
      </c>
      <c r="D59" s="283" t="s">
        <v>41</v>
      </c>
      <c r="E59" s="376">
        <f>E61+E62</f>
        <v>3648.2</v>
      </c>
      <c r="F59" s="343">
        <f>F61+F62</f>
        <v>4075</v>
      </c>
      <c r="G59" s="343">
        <f>'3-Ծախսերի բացվածք'!L102</f>
        <v>3790.5000000000005</v>
      </c>
      <c r="H59" s="343">
        <f t="shared" si="1"/>
        <v>-284.49999999999955</v>
      </c>
      <c r="I59" s="343">
        <f t="shared" si="2"/>
        <v>142.30000000000064</v>
      </c>
      <c r="J59" s="343"/>
      <c r="K59" s="343">
        <f>SUM(K61:K62)</f>
        <v>4075.5</v>
      </c>
      <c r="L59" s="343">
        <f>SUM(L61:L62)</f>
        <v>4075</v>
      </c>
      <c r="M59" s="352"/>
    </row>
    <row r="60" spans="1:12" s="257" customFormat="1" ht="17.25">
      <c r="A60" s="336"/>
      <c r="B60" s="337"/>
      <c r="C60" s="339"/>
      <c r="D60" s="260" t="s">
        <v>52</v>
      </c>
      <c r="E60" s="272"/>
      <c r="F60" s="272"/>
      <c r="G60" s="272"/>
      <c r="H60" s="272">
        <f t="shared" si="1"/>
        <v>0</v>
      </c>
      <c r="I60" s="272">
        <f t="shared" si="2"/>
        <v>0</v>
      </c>
      <c r="J60" s="272"/>
      <c r="K60" s="272"/>
      <c r="L60" s="272"/>
    </row>
    <row r="61" spans="1:12" s="257" customFormat="1" ht="17.25">
      <c r="A61" s="336"/>
      <c r="B61" s="337"/>
      <c r="C61" s="339"/>
      <c r="D61" s="260" t="s">
        <v>42</v>
      </c>
      <c r="E61" s="344">
        <v>3648.2</v>
      </c>
      <c r="F61" s="272">
        <v>4075</v>
      </c>
      <c r="G61" s="272">
        <f>'3-Ծախսերի բացվածք'!L102</f>
        <v>3790.5000000000005</v>
      </c>
      <c r="H61" s="272">
        <f t="shared" si="1"/>
        <v>-284.49999999999955</v>
      </c>
      <c r="I61" s="272">
        <f t="shared" si="2"/>
        <v>142.30000000000064</v>
      </c>
      <c r="J61" s="272"/>
      <c r="K61" s="272">
        <v>4075.5</v>
      </c>
      <c r="L61" s="272">
        <v>4075</v>
      </c>
    </row>
    <row r="62" spans="1:12" s="257" customFormat="1" ht="17.25">
      <c r="A62" s="336"/>
      <c r="B62" s="337"/>
      <c r="C62" s="339"/>
      <c r="D62" s="260" t="s">
        <v>43</v>
      </c>
      <c r="E62" s="272"/>
      <c r="F62" s="272"/>
      <c r="G62" s="272"/>
      <c r="H62" s="272">
        <f t="shared" si="1"/>
        <v>0</v>
      </c>
      <c r="I62" s="272">
        <f t="shared" si="2"/>
        <v>0</v>
      </c>
      <c r="J62" s="272"/>
      <c r="K62" s="272"/>
      <c r="L62" s="272"/>
    </row>
    <row r="63" spans="1:12" s="257" customFormat="1" ht="17.25">
      <c r="A63" s="336"/>
      <c r="B63" s="337"/>
      <c r="C63" s="339">
        <v>4262</v>
      </c>
      <c r="D63" s="261" t="s">
        <v>155</v>
      </c>
      <c r="E63" s="344"/>
      <c r="F63" s="272"/>
      <c r="G63" s="272"/>
      <c r="H63" s="272">
        <f t="shared" si="1"/>
        <v>0</v>
      </c>
      <c r="I63" s="272">
        <f t="shared" si="2"/>
        <v>0</v>
      </c>
      <c r="J63" s="272"/>
      <c r="K63" s="272"/>
      <c r="L63" s="272"/>
    </row>
    <row r="64" spans="1:13" s="257" customFormat="1" ht="57.75" customHeight="1">
      <c r="A64" s="336"/>
      <c r="B64" s="337"/>
      <c r="C64" s="346">
        <v>4264</v>
      </c>
      <c r="D64" s="176" t="s">
        <v>154</v>
      </c>
      <c r="E64" s="347">
        <v>7462.43</v>
      </c>
      <c r="F64" s="348">
        <v>8192</v>
      </c>
      <c r="G64" s="348">
        <f>'3-Ծախսերի բացվածք'!L182</f>
        <v>8436.02</v>
      </c>
      <c r="H64" s="348">
        <f t="shared" si="1"/>
        <v>244.02000000000044</v>
      </c>
      <c r="I64" s="348">
        <f t="shared" si="2"/>
        <v>973.5900000000001</v>
      </c>
      <c r="J64" s="348" t="s">
        <v>1100</v>
      </c>
      <c r="K64" s="348">
        <v>8192</v>
      </c>
      <c r="L64" s="348">
        <v>8192</v>
      </c>
      <c r="M64" s="345"/>
    </row>
    <row r="65" spans="1:12" s="257" customFormat="1" ht="36.75" customHeight="1">
      <c r="A65" s="336"/>
      <c r="B65" s="337"/>
      <c r="C65" s="339">
        <v>4266</v>
      </c>
      <c r="D65" s="261" t="s">
        <v>194</v>
      </c>
      <c r="E65" s="272"/>
      <c r="F65" s="272"/>
      <c r="G65" s="272"/>
      <c r="H65" s="272">
        <f t="shared" si="1"/>
        <v>0</v>
      </c>
      <c r="I65" s="272">
        <f t="shared" si="2"/>
        <v>0</v>
      </c>
      <c r="J65" s="272"/>
      <c r="K65" s="272"/>
      <c r="L65" s="272"/>
    </row>
    <row r="66" spans="1:13" s="257" customFormat="1" ht="69">
      <c r="A66" s="336"/>
      <c r="B66" s="337"/>
      <c r="C66" s="346">
        <v>4267</v>
      </c>
      <c r="D66" s="176" t="s">
        <v>156</v>
      </c>
      <c r="E66" s="347">
        <v>946.54</v>
      </c>
      <c r="F66" s="348">
        <v>1514</v>
      </c>
      <c r="G66" s="348">
        <f>'3-Ծախսերի բացվածք'!L195</f>
        <v>1636</v>
      </c>
      <c r="H66" s="348">
        <f t="shared" si="1"/>
        <v>122</v>
      </c>
      <c r="I66" s="348">
        <f t="shared" si="2"/>
        <v>689.46</v>
      </c>
      <c r="J66" s="645" t="s">
        <v>1101</v>
      </c>
      <c r="K66" s="348">
        <v>1514</v>
      </c>
      <c r="L66" s="348">
        <v>1514</v>
      </c>
      <c r="M66" s="352"/>
    </row>
    <row r="67" spans="1:12" s="257" customFormat="1" ht="17.25">
      <c r="A67" s="336"/>
      <c r="B67" s="337"/>
      <c r="C67" s="339">
        <v>4269</v>
      </c>
      <c r="D67" s="261" t="s">
        <v>44</v>
      </c>
      <c r="E67" s="272"/>
      <c r="F67" s="272"/>
      <c r="G67" s="272"/>
      <c r="H67" s="272">
        <f t="shared" si="1"/>
        <v>0</v>
      </c>
      <c r="I67" s="272">
        <f t="shared" si="2"/>
        <v>0</v>
      </c>
      <c r="J67" s="272"/>
      <c r="K67" s="272"/>
      <c r="L67" s="272"/>
    </row>
    <row r="68" spans="1:12" s="257" customFormat="1" ht="34.5">
      <c r="A68" s="336"/>
      <c r="B68" s="337"/>
      <c r="C68" s="339">
        <v>4511</v>
      </c>
      <c r="D68" s="259" t="s">
        <v>45</v>
      </c>
      <c r="E68" s="272"/>
      <c r="F68" s="272"/>
      <c r="G68" s="272"/>
      <c r="H68" s="272">
        <f t="shared" si="1"/>
        <v>0</v>
      </c>
      <c r="I68" s="272">
        <f t="shared" si="2"/>
        <v>0</v>
      </c>
      <c r="J68" s="272"/>
      <c r="K68" s="272"/>
      <c r="L68" s="272"/>
    </row>
    <row r="69" spans="1:12" s="354" customFormat="1" ht="34.5">
      <c r="A69" s="336"/>
      <c r="B69" s="337"/>
      <c r="C69" s="339">
        <v>4621</v>
      </c>
      <c r="D69" s="259" t="s">
        <v>46</v>
      </c>
      <c r="E69" s="272"/>
      <c r="F69" s="272"/>
      <c r="G69" s="272"/>
      <c r="H69" s="272">
        <f t="shared" si="1"/>
        <v>0</v>
      </c>
      <c r="I69" s="272">
        <f t="shared" si="2"/>
        <v>0</v>
      </c>
      <c r="J69" s="353"/>
      <c r="K69" s="272"/>
      <c r="L69" s="272"/>
    </row>
    <row r="70" spans="1:12" s="354" customFormat="1" ht="34.5">
      <c r="A70" s="336"/>
      <c r="B70" s="337"/>
      <c r="C70" s="339">
        <v>4631</v>
      </c>
      <c r="D70" s="259" t="s">
        <v>171</v>
      </c>
      <c r="E70" s="272"/>
      <c r="F70" s="272"/>
      <c r="G70" s="272"/>
      <c r="H70" s="272">
        <f t="shared" si="1"/>
        <v>0</v>
      </c>
      <c r="I70" s="272">
        <f t="shared" si="2"/>
        <v>0</v>
      </c>
      <c r="J70" s="353"/>
      <c r="K70" s="272"/>
      <c r="L70" s="272"/>
    </row>
    <row r="71" spans="1:12" s="354" customFormat="1" ht="36" customHeight="1">
      <c r="A71" s="336"/>
      <c r="B71" s="337"/>
      <c r="C71" s="339">
        <v>4632</v>
      </c>
      <c r="D71" s="259" t="s">
        <v>146</v>
      </c>
      <c r="E71" s="272"/>
      <c r="F71" s="272"/>
      <c r="G71" s="272"/>
      <c r="H71" s="272">
        <f t="shared" si="1"/>
        <v>0</v>
      </c>
      <c r="I71" s="272">
        <f t="shared" si="2"/>
        <v>0</v>
      </c>
      <c r="J71" s="272"/>
      <c r="K71" s="272"/>
      <c r="L71" s="272"/>
    </row>
    <row r="72" spans="1:12" s="354" customFormat="1" ht="60" customHeight="1">
      <c r="A72" s="336"/>
      <c r="B72" s="337"/>
      <c r="C72" s="339" t="s">
        <v>226</v>
      </c>
      <c r="D72" s="259" t="s">
        <v>227</v>
      </c>
      <c r="E72" s="272"/>
      <c r="F72" s="272"/>
      <c r="G72" s="272"/>
      <c r="H72" s="272"/>
      <c r="I72" s="272"/>
      <c r="J72" s="272"/>
      <c r="K72" s="272"/>
      <c r="L72" s="272"/>
    </row>
    <row r="73" spans="1:12" s="354" customFormat="1" ht="48.75" customHeight="1">
      <c r="A73" s="336"/>
      <c r="B73" s="337"/>
      <c r="C73" s="339">
        <v>4638</v>
      </c>
      <c r="D73" s="259" t="s">
        <v>229</v>
      </c>
      <c r="E73" s="272"/>
      <c r="F73" s="272"/>
      <c r="G73" s="272"/>
      <c r="H73" s="272">
        <f t="shared" si="1"/>
        <v>0</v>
      </c>
      <c r="I73" s="272">
        <f t="shared" si="2"/>
        <v>0</v>
      </c>
      <c r="J73" s="272"/>
      <c r="K73" s="272"/>
      <c r="L73" s="272"/>
    </row>
    <row r="74" spans="1:12" s="354" customFormat="1" ht="23.25" customHeight="1">
      <c r="A74" s="336"/>
      <c r="B74" s="337"/>
      <c r="C74" s="339" t="s">
        <v>173</v>
      </c>
      <c r="D74" s="259" t="s">
        <v>174</v>
      </c>
      <c r="E74" s="272"/>
      <c r="F74" s="272"/>
      <c r="G74" s="272"/>
      <c r="H74" s="272">
        <f t="shared" si="1"/>
        <v>0</v>
      </c>
      <c r="I74" s="272">
        <f t="shared" si="2"/>
        <v>0</v>
      </c>
      <c r="J74" s="272"/>
      <c r="K74" s="272"/>
      <c r="L74" s="272"/>
    </row>
    <row r="75" spans="1:12" s="354" customFormat="1" ht="51.75">
      <c r="A75" s="336"/>
      <c r="B75" s="337"/>
      <c r="C75" s="339" t="s">
        <v>235</v>
      </c>
      <c r="D75" s="259" t="s">
        <v>236</v>
      </c>
      <c r="E75" s="272"/>
      <c r="F75" s="272"/>
      <c r="G75" s="272"/>
      <c r="H75" s="272">
        <f>+G75-F75</f>
        <v>0</v>
      </c>
      <c r="I75" s="272">
        <f>G75-E75</f>
        <v>0</v>
      </c>
      <c r="J75" s="272"/>
      <c r="K75" s="272"/>
      <c r="L75" s="272"/>
    </row>
    <row r="76" spans="1:12" s="354" customFormat="1" ht="21" customHeight="1">
      <c r="A76" s="336"/>
      <c r="B76" s="337"/>
      <c r="C76" s="339">
        <v>4729</v>
      </c>
      <c r="D76" s="261" t="s">
        <v>47</v>
      </c>
      <c r="E76" s="266"/>
      <c r="F76" s="266"/>
      <c r="G76" s="272"/>
      <c r="H76" s="272">
        <f t="shared" si="1"/>
        <v>0</v>
      </c>
      <c r="I76" s="272">
        <f t="shared" si="2"/>
        <v>0</v>
      </c>
      <c r="J76" s="266"/>
      <c r="K76" s="272"/>
      <c r="L76" s="272"/>
    </row>
    <row r="77" spans="1:12" s="354" customFormat="1" ht="22.5" customHeight="1">
      <c r="A77" s="336"/>
      <c r="B77" s="337"/>
      <c r="C77" s="339">
        <v>4822</v>
      </c>
      <c r="D77" s="261" t="s">
        <v>48</v>
      </c>
      <c r="E77" s="266"/>
      <c r="F77" s="266"/>
      <c r="G77" s="272"/>
      <c r="H77" s="272">
        <f t="shared" si="1"/>
        <v>0</v>
      </c>
      <c r="I77" s="272">
        <f t="shared" si="2"/>
        <v>0</v>
      </c>
      <c r="J77" s="266"/>
      <c r="K77" s="272"/>
      <c r="L77" s="272"/>
    </row>
    <row r="78" spans="1:13" s="354" customFormat="1" ht="19.5" customHeight="1">
      <c r="A78" s="336"/>
      <c r="B78" s="337"/>
      <c r="C78" s="342">
        <v>4823</v>
      </c>
      <c r="D78" s="283" t="s">
        <v>49</v>
      </c>
      <c r="E78" s="376">
        <f>E80+E82</f>
        <v>368.96</v>
      </c>
      <c r="F78" s="343">
        <f>F80+F81+F82</f>
        <v>218</v>
      </c>
      <c r="G78" s="343">
        <f>G80+G81+G82</f>
        <v>110</v>
      </c>
      <c r="H78" s="343">
        <f t="shared" si="1"/>
        <v>-108</v>
      </c>
      <c r="I78" s="343">
        <f t="shared" si="2"/>
        <v>-258.96</v>
      </c>
      <c r="J78" s="343"/>
      <c r="K78" s="343">
        <f>K80+K81+K82</f>
        <v>110</v>
      </c>
      <c r="L78" s="343">
        <f>L80+L81+L82</f>
        <v>110</v>
      </c>
      <c r="M78" s="355"/>
    </row>
    <row r="79" spans="1:12" s="354" customFormat="1" ht="17.25">
      <c r="A79" s="336"/>
      <c r="B79" s="337"/>
      <c r="C79" s="339"/>
      <c r="D79" s="260" t="s">
        <v>52</v>
      </c>
      <c r="E79" s="266"/>
      <c r="F79" s="266"/>
      <c r="G79" s="272"/>
      <c r="H79" s="272">
        <f t="shared" si="1"/>
        <v>0</v>
      </c>
      <c r="I79" s="272">
        <f t="shared" si="2"/>
        <v>0</v>
      </c>
      <c r="J79" s="266"/>
      <c r="K79" s="272"/>
      <c r="L79" s="272"/>
    </row>
    <row r="80" spans="1:12" s="257" customFormat="1" ht="34.5">
      <c r="A80" s="336"/>
      <c r="B80" s="337"/>
      <c r="C80" s="339"/>
      <c r="D80" s="260" t="s">
        <v>145</v>
      </c>
      <c r="E80" s="266">
        <v>44</v>
      </c>
      <c r="F80" s="266">
        <v>110</v>
      </c>
      <c r="G80" s="272">
        <v>110</v>
      </c>
      <c r="H80" s="272">
        <v>110</v>
      </c>
      <c r="I80" s="272">
        <f aca="true" t="shared" si="3" ref="I80:I87">G80-E80</f>
        <v>66</v>
      </c>
      <c r="J80" s="266"/>
      <c r="K80" s="272">
        <v>110</v>
      </c>
      <c r="L80" s="272">
        <v>110</v>
      </c>
    </row>
    <row r="81" spans="1:12" ht="27.75" customHeight="1">
      <c r="A81" s="336"/>
      <c r="B81" s="337"/>
      <c r="C81" s="339"/>
      <c r="D81" s="260" t="s">
        <v>143</v>
      </c>
      <c r="E81" s="266"/>
      <c r="F81" s="266"/>
      <c r="G81" s="272"/>
      <c r="H81" s="272">
        <f aca="true" t="shared" si="4" ref="H81:H95">+G81-F81</f>
        <v>0</v>
      </c>
      <c r="I81" s="272">
        <f t="shared" si="3"/>
        <v>0</v>
      </c>
      <c r="J81" s="266"/>
      <c r="K81" s="272"/>
      <c r="L81" s="272"/>
    </row>
    <row r="82" spans="1:12" ht="17.25">
      <c r="A82" s="336"/>
      <c r="B82" s="337"/>
      <c r="C82" s="339"/>
      <c r="D82" s="260" t="s">
        <v>144</v>
      </c>
      <c r="E82" s="267">
        <v>324.96</v>
      </c>
      <c r="F82" s="266">
        <v>108</v>
      </c>
      <c r="G82" s="272">
        <v>0</v>
      </c>
      <c r="H82" s="272">
        <v>0</v>
      </c>
      <c r="I82" s="272">
        <f t="shared" si="3"/>
        <v>-324.96</v>
      </c>
      <c r="J82" s="266"/>
      <c r="K82" s="272">
        <v>0</v>
      </c>
      <c r="L82" s="272">
        <v>0</v>
      </c>
    </row>
    <row r="83" spans="1:12" ht="31.5" customHeight="1">
      <c r="A83" s="336"/>
      <c r="B83" s="337"/>
      <c r="C83" s="339" t="s">
        <v>193</v>
      </c>
      <c r="D83" s="261" t="s">
        <v>204</v>
      </c>
      <c r="E83" s="266"/>
      <c r="F83" s="266"/>
      <c r="G83" s="272"/>
      <c r="H83" s="272">
        <f t="shared" si="4"/>
        <v>0</v>
      </c>
      <c r="I83" s="272">
        <f t="shared" si="3"/>
        <v>0</v>
      </c>
      <c r="J83" s="266"/>
      <c r="K83" s="272"/>
      <c r="L83" s="272"/>
    </row>
    <row r="84" spans="1:12" ht="31.5" customHeight="1">
      <c r="A84" s="336"/>
      <c r="B84" s="337"/>
      <c r="C84" s="339">
        <v>4831</v>
      </c>
      <c r="D84" s="259" t="s">
        <v>237</v>
      </c>
      <c r="E84" s="266"/>
      <c r="F84" s="266"/>
      <c r="G84" s="272"/>
      <c r="H84" s="272">
        <f>+G84-F84</f>
        <v>0</v>
      </c>
      <c r="I84" s="272">
        <f>G84-E84</f>
        <v>0</v>
      </c>
      <c r="J84" s="266"/>
      <c r="K84" s="272"/>
      <c r="L84" s="272"/>
    </row>
    <row r="85" spans="1:12" ht="72.75" customHeight="1">
      <c r="A85" s="336"/>
      <c r="B85" s="337"/>
      <c r="C85" s="339">
        <v>4851</v>
      </c>
      <c r="D85" s="259" t="s">
        <v>238</v>
      </c>
      <c r="E85" s="266"/>
      <c r="F85" s="266"/>
      <c r="G85" s="272"/>
      <c r="H85" s="272">
        <f>+G85-F85</f>
        <v>0</v>
      </c>
      <c r="I85" s="272">
        <f>G85-E85</f>
        <v>0</v>
      </c>
      <c r="J85" s="266"/>
      <c r="K85" s="272"/>
      <c r="L85" s="272"/>
    </row>
    <row r="86" spans="1:12" s="356" customFormat="1" ht="31.5" customHeight="1">
      <c r="A86" s="336"/>
      <c r="B86" s="337"/>
      <c r="C86" s="339">
        <v>4861</v>
      </c>
      <c r="D86" s="261" t="s">
        <v>50</v>
      </c>
      <c r="E86" s="266"/>
      <c r="F86" s="266"/>
      <c r="G86" s="272"/>
      <c r="H86" s="272">
        <f t="shared" si="4"/>
        <v>0</v>
      </c>
      <c r="I86" s="272">
        <f t="shared" si="3"/>
        <v>0</v>
      </c>
      <c r="J86" s="266"/>
      <c r="K86" s="272"/>
      <c r="L86" s="272"/>
    </row>
    <row r="87" spans="1:12" ht="36" customHeight="1">
      <c r="A87" s="357"/>
      <c r="B87" s="358"/>
      <c r="C87" s="339">
        <v>4891</v>
      </c>
      <c r="D87" s="261" t="s">
        <v>51</v>
      </c>
      <c r="E87" s="272"/>
      <c r="F87" s="272"/>
      <c r="G87" s="272"/>
      <c r="H87" s="272">
        <f t="shared" si="4"/>
        <v>0</v>
      </c>
      <c r="I87" s="272">
        <f t="shared" si="3"/>
        <v>0</v>
      </c>
      <c r="J87" s="272"/>
      <c r="K87" s="272"/>
      <c r="L87" s="272"/>
    </row>
    <row r="88" spans="4:12" ht="9.75" customHeight="1">
      <c r="D88" s="360"/>
      <c r="E88" s="361"/>
      <c r="F88" s="361"/>
      <c r="G88" s="361"/>
      <c r="H88" s="361"/>
      <c r="I88" s="361"/>
      <c r="J88" s="361"/>
      <c r="K88" s="361"/>
      <c r="L88" s="361"/>
    </row>
    <row r="89" spans="1:16" s="362" customFormat="1" ht="34.5">
      <c r="A89" s="1022" t="s">
        <v>198</v>
      </c>
      <c r="B89" s="1022"/>
      <c r="C89" s="316"/>
      <c r="D89" s="641" t="s">
        <v>53</v>
      </c>
      <c r="E89" s="642">
        <f>SUM(E91:E95)</f>
        <v>2076</v>
      </c>
      <c r="F89" s="642">
        <f>F92+F91+F93+F94+F95</f>
        <v>114931.59999999999</v>
      </c>
      <c r="G89" s="642">
        <f>SUM(G91:G95)</f>
        <v>2115</v>
      </c>
      <c r="H89" s="642">
        <f>SUM(H91:H95)</f>
        <v>-112816.59999999999</v>
      </c>
      <c r="I89" s="642">
        <f>SUM(I91:I95)</f>
        <v>39</v>
      </c>
      <c r="J89" s="642"/>
      <c r="K89" s="380">
        <f>(SUM(K91:K95))/1000</f>
        <v>900</v>
      </c>
      <c r="L89" s="642">
        <f>SUM(L91:L95)</f>
        <v>0</v>
      </c>
      <c r="M89" s="996"/>
      <c r="N89" s="643"/>
      <c r="O89" s="643"/>
      <c r="P89" s="643"/>
    </row>
    <row r="90" spans="1:12" s="359" customFormat="1" ht="58.5" customHeight="1">
      <c r="A90" s="517" t="s">
        <v>199</v>
      </c>
      <c r="B90" s="517" t="s">
        <v>200</v>
      </c>
      <c r="C90" s="363"/>
      <c r="D90" s="334" t="s">
        <v>52</v>
      </c>
      <c r="E90" s="364"/>
      <c r="F90" s="364"/>
      <c r="G90" s="364"/>
      <c r="H90" s="364"/>
      <c r="I90" s="364"/>
      <c r="J90" s="364"/>
      <c r="K90" s="364"/>
      <c r="L90" s="364"/>
    </row>
    <row r="91" spans="1:12" s="370" customFormat="1" ht="15.75" customHeight="1">
      <c r="A91" s="365"/>
      <c r="B91" s="365"/>
      <c r="C91" s="366">
        <v>5121</v>
      </c>
      <c r="D91" s="367" t="s">
        <v>54</v>
      </c>
      <c r="E91" s="368"/>
      <c r="F91" s="368">
        <v>83683.4</v>
      </c>
      <c r="G91" s="369"/>
      <c r="H91" s="369">
        <f t="shared" si="4"/>
        <v>-83683.4</v>
      </c>
      <c r="I91" s="369">
        <f>G91-E91</f>
        <v>0</v>
      </c>
      <c r="J91" s="368"/>
      <c r="K91" s="369"/>
      <c r="L91" s="369"/>
    </row>
    <row r="92" spans="1:12" s="370" customFormat="1" ht="15.75" customHeight="1">
      <c r="A92" s="336"/>
      <c r="B92" s="336"/>
      <c r="C92" s="366">
        <v>5122</v>
      </c>
      <c r="D92" s="367" t="s">
        <v>55</v>
      </c>
      <c r="E92" s="368">
        <v>2076</v>
      </c>
      <c r="F92" s="368">
        <v>31248.2</v>
      </c>
      <c r="G92" s="369">
        <f>'3-Ծախսերի բացվածք'!L255</f>
        <v>2115</v>
      </c>
      <c r="H92" s="369">
        <f>G92-F92</f>
        <v>-29133.2</v>
      </c>
      <c r="I92" s="369">
        <f>G92-E92</f>
        <v>39</v>
      </c>
      <c r="J92" s="368"/>
      <c r="K92" s="639">
        <v>900000</v>
      </c>
      <c r="L92" s="369"/>
    </row>
    <row r="93" spans="1:12" s="370" customFormat="1" ht="17.25">
      <c r="A93" s="336"/>
      <c r="B93" s="336"/>
      <c r="C93" s="366">
        <v>5129</v>
      </c>
      <c r="D93" s="367" t="s">
        <v>56</v>
      </c>
      <c r="E93" s="368"/>
      <c r="F93" s="368"/>
      <c r="G93" s="369"/>
      <c r="H93" s="369">
        <f t="shared" si="4"/>
        <v>0</v>
      </c>
      <c r="I93" s="369">
        <f>G93-E93</f>
        <v>0</v>
      </c>
      <c r="J93" s="368"/>
      <c r="K93" s="369"/>
      <c r="L93" s="369"/>
    </row>
    <row r="94" spans="1:12" s="370" customFormat="1" ht="17.25">
      <c r="A94" s="336"/>
      <c r="B94" s="336"/>
      <c r="C94" s="366">
        <v>5131</v>
      </c>
      <c r="D94" s="367" t="s">
        <v>228</v>
      </c>
      <c r="E94" s="368"/>
      <c r="F94" s="368"/>
      <c r="G94" s="369"/>
      <c r="H94" s="369">
        <f>+G94-F94</f>
        <v>0</v>
      </c>
      <c r="I94" s="369">
        <f>G94-E94</f>
        <v>0</v>
      </c>
      <c r="J94" s="368"/>
      <c r="K94" s="369"/>
      <c r="L94" s="369"/>
    </row>
    <row r="95" spans="1:12" s="370" customFormat="1" ht="15.75" customHeight="1">
      <c r="A95" s="357"/>
      <c r="B95" s="357"/>
      <c r="C95" s="366">
        <v>5132</v>
      </c>
      <c r="D95" s="367" t="s">
        <v>57</v>
      </c>
      <c r="E95" s="368"/>
      <c r="F95" s="368"/>
      <c r="G95" s="369"/>
      <c r="H95" s="369">
        <f t="shared" si="4"/>
        <v>0</v>
      </c>
      <c r="I95" s="369">
        <f>G95-E95</f>
        <v>0</v>
      </c>
      <c r="J95" s="368"/>
      <c r="K95" s="369"/>
      <c r="L95" s="369"/>
    </row>
  </sheetData>
  <sheetProtection/>
  <mergeCells count="11">
    <mergeCell ref="A89:B89"/>
    <mergeCell ref="A7:B7"/>
    <mergeCell ref="D3:I3"/>
    <mergeCell ref="A10:A18"/>
    <mergeCell ref="B10:B12"/>
    <mergeCell ref="B13:B14"/>
    <mergeCell ref="B15:B16"/>
    <mergeCell ref="B17:B18"/>
    <mergeCell ref="C7:D7"/>
    <mergeCell ref="A6:B6"/>
    <mergeCell ref="A2:H2"/>
  </mergeCells>
  <conditionalFormatting sqref="D14:D15">
    <cfRule type="cellIs" priority="5" dxfId="8" operator="equal" stopIfTrue="1">
      <formula>0</formula>
    </cfRule>
  </conditionalFormatting>
  <conditionalFormatting sqref="C8:D8">
    <cfRule type="cellIs" priority="1" dxfId="8" operator="equal" stopIfTrue="1">
      <formula>0</formula>
    </cfRule>
  </conditionalFormatting>
  <printOptions/>
  <pageMargins left="0.18" right="0.17" top="0.19" bottom="0.16" header="0.18" footer="0.16"/>
  <pageSetup horizontalDpi="600" verticalDpi="600" orientation="landscape" paperSize="9" scale="85" r:id="rId1"/>
  <headerFooter alignWithMargins="0">
    <oddFooter>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80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7.140625" style="256" customWidth="1"/>
    <col min="2" max="2" width="51.57421875" style="256" customWidth="1"/>
    <col min="3" max="3" width="13.28125" style="256" customWidth="1"/>
    <col min="4" max="4" width="8.57421875" style="256" customWidth="1"/>
    <col min="5" max="5" width="14.7109375" style="256" customWidth="1"/>
    <col min="6" max="6" width="13.8515625" style="256" customWidth="1"/>
    <col min="7" max="7" width="10.28125" style="256" customWidth="1"/>
    <col min="8" max="8" width="12.57421875" style="256" customWidth="1"/>
    <col min="9" max="9" width="11.28125" style="256" customWidth="1"/>
    <col min="10" max="10" width="12.28125" style="256" customWidth="1"/>
    <col min="11" max="11" width="15.421875" style="256" customWidth="1"/>
    <col min="12" max="12" width="19.00390625" style="256" customWidth="1"/>
    <col min="13" max="13" width="11.57421875" style="256" customWidth="1"/>
    <col min="14" max="14" width="13.57421875" style="256" customWidth="1"/>
    <col min="15" max="15" width="14.57421875" style="256" customWidth="1"/>
    <col min="16" max="16" width="15.421875" style="256" customWidth="1"/>
    <col min="17" max="16384" width="9.140625" style="256" customWidth="1"/>
  </cols>
  <sheetData>
    <row r="1" spans="1:15" s="289" customFormat="1" ht="17.25">
      <c r="A1" s="286"/>
      <c r="B1" s="287"/>
      <c r="C1" s="287"/>
      <c r="D1" s="287"/>
      <c r="E1" s="287"/>
      <c r="F1" s="287"/>
      <c r="G1" s="287"/>
      <c r="H1" s="287"/>
      <c r="I1" s="288"/>
      <c r="J1" s="288"/>
      <c r="K1" s="287"/>
      <c r="N1" s="287"/>
      <c r="O1" s="287" t="s">
        <v>181</v>
      </c>
    </row>
    <row r="2" spans="1:15" s="289" customFormat="1" ht="12.75" customHeight="1">
      <c r="A2" s="286"/>
      <c r="B2" s="287"/>
      <c r="C2" s="287"/>
      <c r="D2" s="287"/>
      <c r="E2" s="287"/>
      <c r="F2" s="287"/>
      <c r="G2" s="287"/>
      <c r="H2" s="287"/>
      <c r="I2" s="288"/>
      <c r="J2" s="288"/>
      <c r="K2" s="287"/>
      <c r="L2" s="1028" t="s">
        <v>9</v>
      </c>
      <c r="M2" s="1028"/>
      <c r="N2" s="1028"/>
      <c r="O2" s="1028"/>
    </row>
    <row r="3" spans="2:10" s="289" customFormat="1" ht="18" thickBot="1">
      <c r="B3" s="516"/>
      <c r="C3" s="516"/>
      <c r="D3" s="516"/>
      <c r="E3" s="516"/>
      <c r="F3" s="516"/>
      <c r="G3" s="516"/>
      <c r="H3" s="516"/>
      <c r="I3" s="516"/>
      <c r="J3" s="516"/>
    </row>
    <row r="4" spans="1:18" s="254" customFormat="1" ht="39.75" customHeight="1">
      <c r="A4" s="1036" t="s">
        <v>1102</v>
      </c>
      <c r="B4" s="1036"/>
      <c r="C4" s="1036"/>
      <c r="D4" s="1036"/>
      <c r="E4" s="1036"/>
      <c r="F4" s="1036"/>
      <c r="G4" s="1036"/>
      <c r="I4" s="290"/>
      <c r="J4" s="520"/>
      <c r="L4" s="258"/>
      <c r="M4" s="258"/>
      <c r="O4" s="258"/>
      <c r="P4" s="258"/>
      <c r="Q4" s="258"/>
      <c r="R4" s="258"/>
    </row>
    <row r="5" spans="1:19" s="289" customFormat="1" ht="44.25" customHeight="1">
      <c r="A5" s="521"/>
      <c r="B5" s="1037" t="s">
        <v>862</v>
      </c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291"/>
      <c r="Q5" s="291"/>
      <c r="R5" s="291"/>
      <c r="S5" s="292"/>
    </row>
    <row r="6" spans="13:14" s="289" customFormat="1" ht="18" thickBot="1">
      <c r="M6" s="258"/>
      <c r="N6" s="293"/>
    </row>
    <row r="7" spans="1:15" s="524" customFormat="1" ht="68.25" customHeight="1" thickBot="1">
      <c r="A7" s="294"/>
      <c r="B7" s="295"/>
      <c r="C7" s="294"/>
      <c r="D7" s="1033" t="s">
        <v>853</v>
      </c>
      <c r="E7" s="1034"/>
      <c r="F7" s="1035"/>
      <c r="G7" s="1030" t="s">
        <v>855</v>
      </c>
      <c r="H7" s="1031"/>
      <c r="I7" s="1032"/>
      <c r="J7" s="1030" t="s">
        <v>850</v>
      </c>
      <c r="K7" s="1031"/>
      <c r="L7" s="1032"/>
      <c r="M7" s="1033" t="s">
        <v>856</v>
      </c>
      <c r="N7" s="1034"/>
      <c r="O7" s="1035"/>
    </row>
    <row r="8" spans="1:15" ht="55.5" customHeight="1" thickBot="1">
      <c r="A8" s="296" t="s">
        <v>6</v>
      </c>
      <c r="B8" s="294" t="s">
        <v>178</v>
      </c>
      <c r="C8" s="297" t="s">
        <v>180</v>
      </c>
      <c r="D8" s="298" t="s">
        <v>109</v>
      </c>
      <c r="E8" s="298" t="s">
        <v>342</v>
      </c>
      <c r="F8" s="298" t="s">
        <v>343</v>
      </c>
      <c r="G8" s="299" t="s">
        <v>109</v>
      </c>
      <c r="H8" s="300" t="s">
        <v>342</v>
      </c>
      <c r="I8" s="301" t="s">
        <v>343</v>
      </c>
      <c r="J8" s="300" t="s">
        <v>109</v>
      </c>
      <c r="K8" s="300" t="s">
        <v>342</v>
      </c>
      <c r="L8" s="301" t="s">
        <v>343</v>
      </c>
      <c r="M8" s="300" t="s">
        <v>109</v>
      </c>
      <c r="N8" s="300" t="s">
        <v>342</v>
      </c>
      <c r="O8" s="301" t="s">
        <v>343</v>
      </c>
    </row>
    <row r="9" spans="1:15" ht="18" thickBot="1">
      <c r="A9" s="302">
        <v>1</v>
      </c>
      <c r="B9" s="303">
        <v>2</v>
      </c>
      <c r="C9" s="304">
        <v>3</v>
      </c>
      <c r="D9" s="304"/>
      <c r="E9" s="304"/>
      <c r="F9" s="304"/>
      <c r="G9" s="305">
        <v>4</v>
      </c>
      <c r="H9" s="305"/>
      <c r="I9" s="305">
        <v>5</v>
      </c>
      <c r="J9" s="305">
        <v>6</v>
      </c>
      <c r="K9" s="305"/>
      <c r="L9" s="305">
        <v>7</v>
      </c>
      <c r="M9" s="305">
        <v>8</v>
      </c>
      <c r="N9" s="305"/>
      <c r="O9" s="305">
        <v>9</v>
      </c>
    </row>
    <row r="10" spans="1:16" s="306" customFormat="1" ht="22.5" customHeight="1">
      <c r="A10" s="249">
        <v>1</v>
      </c>
      <c r="B10" s="249" t="s">
        <v>20</v>
      </c>
      <c r="C10" s="250">
        <v>4212</v>
      </c>
      <c r="D10" s="250">
        <v>2</v>
      </c>
      <c r="E10" s="284">
        <f>E13+E14</f>
        <v>2240240</v>
      </c>
      <c r="F10" s="269">
        <f>F13+F14</f>
        <v>2240.2400000000002</v>
      </c>
      <c r="G10" s="250">
        <v>2</v>
      </c>
      <c r="H10" s="250"/>
      <c r="I10" s="285">
        <f>SUM(I13:I14)</f>
        <v>4069.8</v>
      </c>
      <c r="J10" s="285">
        <v>2</v>
      </c>
      <c r="K10" s="250"/>
      <c r="L10" s="285">
        <f>SUM(L13:L14)</f>
        <v>4069.7792071840004</v>
      </c>
      <c r="M10" s="285">
        <f>J10-G10</f>
        <v>0</v>
      </c>
      <c r="N10" s="250"/>
      <c r="O10" s="285">
        <f>L10-I10</f>
        <v>-0.020792815999811864</v>
      </c>
      <c r="P10" s="309"/>
    </row>
    <row r="11" spans="1:16" ht="17.25">
      <c r="A11" s="177"/>
      <c r="B11" s="106" t="s">
        <v>78</v>
      </c>
      <c r="C11" s="177"/>
      <c r="D11" s="177"/>
      <c r="E11" s="177"/>
      <c r="F11" s="177"/>
      <c r="G11" s="177"/>
      <c r="H11" s="177"/>
      <c r="I11" s="244"/>
      <c r="J11" s="244"/>
      <c r="K11" s="177"/>
      <c r="L11" s="177"/>
      <c r="M11" s="177"/>
      <c r="N11" s="177"/>
      <c r="O11" s="177"/>
      <c r="P11" s="280"/>
    </row>
    <row r="12" spans="1:16" ht="34.5">
      <c r="A12" s="177"/>
      <c r="B12" s="100" t="s">
        <v>186</v>
      </c>
      <c r="C12" s="177"/>
      <c r="D12" s="177"/>
      <c r="E12" s="177"/>
      <c r="F12" s="177"/>
      <c r="G12" s="177"/>
      <c r="H12" s="177"/>
      <c r="I12" s="244"/>
      <c r="J12" s="244"/>
      <c r="K12" s="177"/>
      <c r="L12" s="177"/>
      <c r="M12" s="177"/>
      <c r="N12" s="177"/>
      <c r="O12" s="177"/>
      <c r="P12" s="280"/>
    </row>
    <row r="13" spans="1:15" ht="17.25">
      <c r="A13" s="177">
        <v>1</v>
      </c>
      <c r="B13" s="97" t="s">
        <v>346</v>
      </c>
      <c r="C13" s="177" t="s">
        <v>1</v>
      </c>
      <c r="D13" s="177">
        <v>1</v>
      </c>
      <c r="E13" s="272">
        <v>1598640</v>
      </c>
      <c r="F13" s="272">
        <v>1598.64</v>
      </c>
      <c r="G13" s="244">
        <v>1</v>
      </c>
      <c r="H13" s="245">
        <v>3441300</v>
      </c>
      <c r="I13" s="244">
        <f>H13*G13/1000</f>
        <v>3441.3</v>
      </c>
      <c r="J13" s="244">
        <v>1</v>
      </c>
      <c r="K13" s="245">
        <v>3441300</v>
      </c>
      <c r="L13" s="244">
        <f>'7-էլ-էներգիա'!I19</f>
        <v>3441.2792071840004</v>
      </c>
      <c r="M13" s="244">
        <f aca="true" t="shared" si="0" ref="M13:O14">J13-G13</f>
        <v>0</v>
      </c>
      <c r="N13" s="244">
        <f t="shared" si="0"/>
        <v>0</v>
      </c>
      <c r="O13" s="244">
        <f t="shared" si="0"/>
        <v>-0.020792815999811864</v>
      </c>
    </row>
    <row r="14" spans="1:15" ht="17.25">
      <c r="A14" s="177">
        <v>2</v>
      </c>
      <c r="B14" s="98" t="s">
        <v>347</v>
      </c>
      <c r="C14" s="177" t="s">
        <v>1</v>
      </c>
      <c r="D14" s="177">
        <v>1</v>
      </c>
      <c r="E14" s="272">
        <v>641600</v>
      </c>
      <c r="F14" s="272">
        <v>641.6</v>
      </c>
      <c r="G14" s="244">
        <v>1</v>
      </c>
      <c r="H14" s="245">
        <v>628500</v>
      </c>
      <c r="I14" s="244">
        <f>H14*G14/1000</f>
        <v>628.5</v>
      </c>
      <c r="J14" s="244">
        <v>1</v>
      </c>
      <c r="K14" s="245">
        <v>628500</v>
      </c>
      <c r="L14" s="244">
        <f>J14*K14/1000</f>
        <v>628.5</v>
      </c>
      <c r="M14" s="244">
        <f t="shared" si="0"/>
        <v>0</v>
      </c>
      <c r="N14" s="244">
        <f t="shared" si="0"/>
        <v>0</v>
      </c>
      <c r="O14" s="244">
        <f t="shared" si="0"/>
        <v>0</v>
      </c>
    </row>
    <row r="15" spans="1:16" ht="16.5" customHeight="1">
      <c r="A15" s="249">
        <v>3</v>
      </c>
      <c r="B15" s="249" t="s">
        <v>977</v>
      </c>
      <c r="C15" s="250">
        <v>4213</v>
      </c>
      <c r="D15" s="250"/>
      <c r="E15" s="250"/>
      <c r="F15" s="269"/>
      <c r="G15" s="250"/>
      <c r="H15" s="250"/>
      <c r="I15" s="285"/>
      <c r="J15" s="285">
        <v>1</v>
      </c>
      <c r="K15" s="308">
        <f>K18</f>
        <v>80000</v>
      </c>
      <c r="L15" s="380">
        <f>L18</f>
        <v>80</v>
      </c>
      <c r="M15" s="285">
        <f>J15-G15</f>
        <v>1</v>
      </c>
      <c r="N15" s="250"/>
      <c r="O15" s="285">
        <f>SUM(O17:O18)</f>
        <v>80</v>
      </c>
      <c r="P15" s="280"/>
    </row>
    <row r="16" spans="1:15" ht="17.25">
      <c r="A16" s="177"/>
      <c r="B16" s="260" t="s">
        <v>52</v>
      </c>
      <c r="C16" s="177"/>
      <c r="D16" s="177"/>
      <c r="E16" s="272"/>
      <c r="F16" s="272"/>
      <c r="G16" s="244"/>
      <c r="H16" s="245"/>
      <c r="I16" s="244"/>
      <c r="J16" s="244"/>
      <c r="K16" s="245"/>
      <c r="L16" s="244"/>
      <c r="M16" s="244"/>
      <c r="N16" s="244"/>
      <c r="O16" s="244"/>
    </row>
    <row r="17" spans="1:15" ht="34.5">
      <c r="A17" s="177"/>
      <c r="B17" s="264" t="s">
        <v>22</v>
      </c>
      <c r="C17" s="177"/>
      <c r="D17" s="177"/>
      <c r="E17" s="272"/>
      <c r="F17" s="272"/>
      <c r="G17" s="244"/>
      <c r="H17" s="245"/>
      <c r="I17" s="244"/>
      <c r="J17" s="244"/>
      <c r="K17" s="245"/>
      <c r="L17" s="244"/>
      <c r="M17" s="244"/>
      <c r="N17" s="244"/>
      <c r="O17" s="244"/>
    </row>
    <row r="18" spans="1:15" ht="34.5">
      <c r="A18" s="177"/>
      <c r="B18" s="264" t="s">
        <v>142</v>
      </c>
      <c r="C18" s="177"/>
      <c r="D18" s="177">
        <v>1</v>
      </c>
      <c r="E18" s="272">
        <v>50000</v>
      </c>
      <c r="F18" s="256">
        <v>50</v>
      </c>
      <c r="G18" s="244"/>
      <c r="H18" s="245"/>
      <c r="I18" s="244"/>
      <c r="J18" s="244">
        <v>1</v>
      </c>
      <c r="K18" s="245">
        <v>80000</v>
      </c>
      <c r="L18" s="244">
        <v>80</v>
      </c>
      <c r="M18" s="244"/>
      <c r="N18" s="244"/>
      <c r="O18" s="244">
        <f>L18-I18</f>
        <v>80</v>
      </c>
    </row>
    <row r="19" spans="1:16" s="306" customFormat="1" ht="23.25" customHeight="1">
      <c r="A19" s="249">
        <v>3</v>
      </c>
      <c r="B19" s="249" t="s">
        <v>23</v>
      </c>
      <c r="C19" s="250">
        <v>4214</v>
      </c>
      <c r="D19" s="250">
        <f>SUM(D22:D27)</f>
        <v>6</v>
      </c>
      <c r="E19" s="250"/>
      <c r="F19" s="269">
        <f>F22+F23+F24+F25+F26+F27</f>
        <v>3464.647</v>
      </c>
      <c r="G19" s="250"/>
      <c r="H19" s="250"/>
      <c r="I19" s="285">
        <f>SUM(I22:I27)</f>
        <v>4366</v>
      </c>
      <c r="J19" s="250">
        <f>SUM(J22:J27)</f>
        <v>6</v>
      </c>
      <c r="K19" s="308">
        <v>0</v>
      </c>
      <c r="L19" s="285">
        <f>SUM(L22:L28)</f>
        <v>6823.326400000001</v>
      </c>
      <c r="M19" s="285">
        <f>J19-G19</f>
        <v>6</v>
      </c>
      <c r="N19" s="250"/>
      <c r="O19" s="285">
        <f>L19-I19</f>
        <v>2457.326400000001</v>
      </c>
      <c r="P19" s="309"/>
    </row>
    <row r="20" spans="1:15" ht="17.25">
      <c r="A20" s="281"/>
      <c r="B20" s="106" t="s">
        <v>78</v>
      </c>
      <c r="C20" s="177"/>
      <c r="D20" s="177"/>
      <c r="E20" s="177"/>
      <c r="F20" s="177"/>
      <c r="G20" s="177"/>
      <c r="H20" s="177"/>
      <c r="I20" s="244"/>
      <c r="J20" s="244"/>
      <c r="K20" s="177"/>
      <c r="L20" s="177"/>
      <c r="M20" s="177"/>
      <c r="N20" s="177"/>
      <c r="O20" s="177"/>
    </row>
    <row r="21" spans="1:15" ht="34.5">
      <c r="A21" s="282"/>
      <c r="B21" s="100" t="s">
        <v>186</v>
      </c>
      <c r="C21" s="177"/>
      <c r="D21" s="177"/>
      <c r="E21" s="177"/>
      <c r="F21" s="177"/>
      <c r="G21" s="177"/>
      <c r="H21" s="177"/>
      <c r="I21" s="244"/>
      <c r="J21" s="244"/>
      <c r="K21" s="177"/>
      <c r="L21" s="177"/>
      <c r="M21" s="177"/>
      <c r="N21" s="177"/>
      <c r="O21" s="177"/>
    </row>
    <row r="22" spans="1:16" ht="17.25">
      <c r="A22" s="282">
        <v>1</v>
      </c>
      <c r="B22" s="99" t="s">
        <v>348</v>
      </c>
      <c r="C22" s="177" t="s">
        <v>1</v>
      </c>
      <c r="D22" s="177">
        <v>1</v>
      </c>
      <c r="E22" s="177">
        <v>2730847</v>
      </c>
      <c r="F22" s="244">
        <v>2730.847</v>
      </c>
      <c r="G22" s="244">
        <v>1</v>
      </c>
      <c r="H22" s="245">
        <v>3372200</v>
      </c>
      <c r="I22" s="244">
        <f aca="true" t="shared" si="1" ref="I22:I27">G22*H22/1000</f>
        <v>3372.2</v>
      </c>
      <c r="J22" s="245">
        <v>1</v>
      </c>
      <c r="K22" s="245">
        <f>'5-ԿԱՊ'!H28+'5-ԿԱՊ'!H39+'5-ԿԱՊ'!H41</f>
        <v>5812526.4</v>
      </c>
      <c r="L22" s="244">
        <f aca="true" t="shared" si="2" ref="L22:L27">J22*K22/1000</f>
        <v>5812.526400000001</v>
      </c>
      <c r="M22" s="244">
        <v>1</v>
      </c>
      <c r="N22" s="244">
        <f aca="true" t="shared" si="3" ref="N22:O26">K22-H22</f>
        <v>2440326.4000000004</v>
      </c>
      <c r="O22" s="244">
        <f t="shared" si="3"/>
        <v>2440.326400000001</v>
      </c>
      <c r="P22" s="280"/>
    </row>
    <row r="23" spans="1:16" ht="17.25">
      <c r="A23" s="282">
        <v>2</v>
      </c>
      <c r="B23" s="99" t="s">
        <v>349</v>
      </c>
      <c r="C23" s="177" t="s">
        <v>1</v>
      </c>
      <c r="D23" s="177">
        <v>1</v>
      </c>
      <c r="E23" s="177">
        <v>6000</v>
      </c>
      <c r="F23" s="244">
        <v>6</v>
      </c>
      <c r="G23" s="244">
        <v>1</v>
      </c>
      <c r="H23" s="245">
        <v>12000</v>
      </c>
      <c r="I23" s="244">
        <f t="shared" si="1"/>
        <v>12</v>
      </c>
      <c r="J23" s="245">
        <v>1</v>
      </c>
      <c r="K23" s="244">
        <f>'5-ԿԱՊ'!H49</f>
        <v>29000</v>
      </c>
      <c r="L23" s="244">
        <f t="shared" si="2"/>
        <v>29</v>
      </c>
      <c r="M23" s="244">
        <v>1</v>
      </c>
      <c r="N23" s="244">
        <f t="shared" si="3"/>
        <v>17000</v>
      </c>
      <c r="O23" s="244">
        <f t="shared" si="3"/>
        <v>17</v>
      </c>
      <c r="P23" s="280"/>
    </row>
    <row r="24" spans="1:16" ht="34.5">
      <c r="A24" s="282">
        <v>3</v>
      </c>
      <c r="B24" s="99" t="s">
        <v>350</v>
      </c>
      <c r="C24" s="177" t="s">
        <v>1</v>
      </c>
      <c r="D24" s="177">
        <v>1</v>
      </c>
      <c r="E24" s="177">
        <v>514800</v>
      </c>
      <c r="F24" s="244">
        <v>514.8</v>
      </c>
      <c r="G24" s="244">
        <v>1</v>
      </c>
      <c r="H24" s="245">
        <v>719000</v>
      </c>
      <c r="I24" s="244">
        <f t="shared" si="1"/>
        <v>719</v>
      </c>
      <c r="J24" s="245">
        <v>1</v>
      </c>
      <c r="K24" s="244">
        <f>'5-ԿԱՊ'!H46</f>
        <v>719000</v>
      </c>
      <c r="L24" s="244">
        <f t="shared" si="2"/>
        <v>719</v>
      </c>
      <c r="M24" s="244">
        <v>1</v>
      </c>
      <c r="N24" s="244">
        <f t="shared" si="3"/>
        <v>0</v>
      </c>
      <c r="O24" s="244">
        <f t="shared" si="3"/>
        <v>0</v>
      </c>
      <c r="P24" s="280"/>
    </row>
    <row r="25" spans="1:16" ht="17.25">
      <c r="A25" s="282">
        <v>4</v>
      </c>
      <c r="B25" s="99" t="s">
        <v>351</v>
      </c>
      <c r="C25" s="177" t="s">
        <v>1</v>
      </c>
      <c r="D25" s="177">
        <v>1</v>
      </c>
      <c r="E25" s="177">
        <v>12000</v>
      </c>
      <c r="F25" s="244">
        <v>12</v>
      </c>
      <c r="G25" s="244">
        <v>1</v>
      </c>
      <c r="H25" s="245">
        <v>12000</v>
      </c>
      <c r="I25" s="244">
        <f t="shared" si="1"/>
        <v>12</v>
      </c>
      <c r="J25" s="245">
        <v>1</v>
      </c>
      <c r="K25" s="244">
        <f>'5-ԿԱՊ'!H48</f>
        <v>12000</v>
      </c>
      <c r="L25" s="244">
        <f t="shared" si="2"/>
        <v>12</v>
      </c>
      <c r="M25" s="244">
        <v>1</v>
      </c>
      <c r="N25" s="244">
        <f t="shared" si="3"/>
        <v>0</v>
      </c>
      <c r="O25" s="244">
        <f t="shared" si="3"/>
        <v>0</v>
      </c>
      <c r="P25" s="280"/>
    </row>
    <row r="26" spans="1:16" ht="34.5">
      <c r="A26" s="282">
        <v>5</v>
      </c>
      <c r="B26" s="99" t="s">
        <v>352</v>
      </c>
      <c r="C26" s="177" t="s">
        <v>1</v>
      </c>
      <c r="D26" s="177">
        <v>1</v>
      </c>
      <c r="E26" s="177">
        <v>201000</v>
      </c>
      <c r="F26" s="244">
        <v>201</v>
      </c>
      <c r="G26" s="244">
        <v>1</v>
      </c>
      <c r="H26" s="246">
        <v>201000</v>
      </c>
      <c r="I26" s="247">
        <f t="shared" si="1"/>
        <v>201</v>
      </c>
      <c r="J26" s="307">
        <v>1</v>
      </c>
      <c r="K26" s="247">
        <f>'5-ԿԱՊ'!H47</f>
        <v>201000</v>
      </c>
      <c r="L26" s="244">
        <f t="shared" si="2"/>
        <v>201</v>
      </c>
      <c r="M26" s="247">
        <v>1</v>
      </c>
      <c r="N26" s="244">
        <f t="shared" si="3"/>
        <v>0</v>
      </c>
      <c r="O26" s="244">
        <f t="shared" si="3"/>
        <v>0</v>
      </c>
      <c r="P26" s="280"/>
    </row>
    <row r="27" spans="1:16" ht="34.5">
      <c r="A27" s="282">
        <v>6</v>
      </c>
      <c r="B27" s="99" t="s">
        <v>353</v>
      </c>
      <c r="C27" s="177" t="s">
        <v>1</v>
      </c>
      <c r="D27" s="177">
        <v>1</v>
      </c>
      <c r="E27" s="177">
        <v>0</v>
      </c>
      <c r="F27" s="244">
        <v>0</v>
      </c>
      <c r="G27" s="244">
        <v>1</v>
      </c>
      <c r="H27" s="245">
        <v>49800</v>
      </c>
      <c r="I27" s="244">
        <f t="shared" si="1"/>
        <v>49.8</v>
      </c>
      <c r="J27" s="307">
        <v>1</v>
      </c>
      <c r="K27" s="307">
        <v>49800</v>
      </c>
      <c r="L27" s="244">
        <f t="shared" si="2"/>
        <v>49.8</v>
      </c>
      <c r="M27" s="247">
        <v>1</v>
      </c>
      <c r="N27" s="245">
        <f>K27-H27</f>
        <v>0</v>
      </c>
      <c r="O27" s="244">
        <f>L27-I27</f>
        <v>0</v>
      </c>
      <c r="P27" s="280"/>
    </row>
    <row r="28" spans="1:16" ht="17.25">
      <c r="A28" s="177"/>
      <c r="B28" s="177"/>
      <c r="C28" s="177" t="s">
        <v>1</v>
      </c>
      <c r="D28" s="177"/>
      <c r="E28" s="177"/>
      <c r="F28" s="177"/>
      <c r="G28" s="177"/>
      <c r="H28" s="177"/>
      <c r="I28" s="244"/>
      <c r="J28" s="244"/>
      <c r="K28" s="177"/>
      <c r="L28" s="244"/>
      <c r="M28" s="244"/>
      <c r="N28" s="177"/>
      <c r="O28" s="244"/>
      <c r="P28" s="280"/>
    </row>
    <row r="29" spans="1:15" s="306" customFormat="1" ht="23.25" customHeight="1">
      <c r="A29" s="249" t="s">
        <v>153</v>
      </c>
      <c r="B29" s="249" t="s">
        <v>24</v>
      </c>
      <c r="C29" s="250">
        <v>4215</v>
      </c>
      <c r="D29" s="250">
        <v>1</v>
      </c>
      <c r="E29" s="250"/>
      <c r="F29" s="284">
        <f>F32</f>
        <v>356</v>
      </c>
      <c r="G29" s="250"/>
      <c r="H29" s="284">
        <f>H32</f>
        <v>360000</v>
      </c>
      <c r="I29" s="285">
        <f>SUM(I32:I33)</f>
        <v>360</v>
      </c>
      <c r="J29" s="285">
        <v>1</v>
      </c>
      <c r="K29" s="308">
        <v>360000</v>
      </c>
      <c r="L29" s="285">
        <f>J29*K29/1000</f>
        <v>360</v>
      </c>
      <c r="M29" s="285">
        <v>0</v>
      </c>
      <c r="N29" s="284">
        <f>K29-H29</f>
        <v>0</v>
      </c>
      <c r="O29" s="285">
        <f>L29-I29</f>
        <v>0</v>
      </c>
    </row>
    <row r="30" spans="1:15" ht="17.25">
      <c r="A30" s="281"/>
      <c r="B30" s="106" t="s">
        <v>78</v>
      </c>
      <c r="C30" s="177"/>
      <c r="D30" s="177"/>
      <c r="E30" s="177"/>
      <c r="F30" s="177"/>
      <c r="G30" s="177"/>
      <c r="H30" s="177"/>
      <c r="I30" s="244"/>
      <c r="J30" s="244"/>
      <c r="K30" s="177"/>
      <c r="L30" s="177"/>
      <c r="M30" s="177"/>
      <c r="N30" s="177"/>
      <c r="O30" s="177"/>
    </row>
    <row r="31" spans="1:15" ht="34.5">
      <c r="A31" s="282"/>
      <c r="B31" s="100" t="s">
        <v>186</v>
      </c>
      <c r="C31" s="177"/>
      <c r="D31" s="177"/>
      <c r="E31" s="177"/>
      <c r="F31" s="177"/>
      <c r="G31" s="177"/>
      <c r="H31" s="177"/>
      <c r="I31" s="244"/>
      <c r="J31" s="244"/>
      <c r="K31" s="177"/>
      <c r="L31" s="177"/>
      <c r="M31" s="177"/>
      <c r="N31" s="177"/>
      <c r="O31" s="177"/>
    </row>
    <row r="32" spans="1:15" ht="34.5">
      <c r="A32" s="177">
        <v>1</v>
      </c>
      <c r="B32" s="100" t="s">
        <v>354</v>
      </c>
      <c r="C32" s="177" t="s">
        <v>1</v>
      </c>
      <c r="D32" s="177">
        <v>1</v>
      </c>
      <c r="E32" s="177">
        <v>356000</v>
      </c>
      <c r="F32" s="280">
        <v>356</v>
      </c>
      <c r="G32" s="177">
        <v>1</v>
      </c>
      <c r="H32" s="245">
        <v>360000</v>
      </c>
      <c r="I32" s="244">
        <f>G32*H32/1000</f>
        <v>360</v>
      </c>
      <c r="J32" s="244">
        <v>1</v>
      </c>
      <c r="K32" s="245">
        <v>360000</v>
      </c>
      <c r="L32" s="244">
        <f>J32*K32/1000</f>
        <v>360</v>
      </c>
      <c r="M32" s="244">
        <f>J32-G32</f>
        <v>0</v>
      </c>
      <c r="N32" s="244">
        <f>K32-H32</f>
        <v>0</v>
      </c>
      <c r="O32" s="244">
        <f>L32-I32</f>
        <v>0</v>
      </c>
    </row>
    <row r="33" spans="1:15" ht="17.25">
      <c r="A33" s="177"/>
      <c r="B33" s="177"/>
      <c r="C33" s="177" t="s">
        <v>1</v>
      </c>
      <c r="D33" s="177"/>
      <c r="E33" s="177"/>
      <c r="F33" s="177"/>
      <c r="G33" s="177"/>
      <c r="H33" s="177"/>
      <c r="I33" s="244"/>
      <c r="J33" s="244"/>
      <c r="K33" s="177"/>
      <c r="L33" s="244"/>
      <c r="M33" s="244">
        <f>J33-G33</f>
        <v>0</v>
      </c>
      <c r="N33" s="177"/>
      <c r="O33" s="244">
        <f>L33-I33</f>
        <v>0</v>
      </c>
    </row>
    <row r="34" spans="1:15" s="306" customFormat="1" ht="23.25" customHeight="1">
      <c r="A34" s="249" t="s">
        <v>153</v>
      </c>
      <c r="B34" s="249" t="s">
        <v>25</v>
      </c>
      <c r="C34" s="250">
        <v>4216</v>
      </c>
      <c r="D34" s="250">
        <v>3</v>
      </c>
      <c r="E34" s="250"/>
      <c r="F34" s="269">
        <f>F37+F38+F39</f>
        <v>37699.55</v>
      </c>
      <c r="G34" s="250">
        <v>3</v>
      </c>
      <c r="H34" s="250"/>
      <c r="I34" s="285">
        <f>SUM(I37:I40)</f>
        <v>44484</v>
      </c>
      <c r="J34" s="285">
        <v>3</v>
      </c>
      <c r="K34" s="250"/>
      <c r="L34" s="285">
        <f>SUM(L37:L40)</f>
        <v>44484</v>
      </c>
      <c r="M34" s="285">
        <f>J34-G34</f>
        <v>0</v>
      </c>
      <c r="N34" s="250"/>
      <c r="O34" s="285">
        <f>L34-I34</f>
        <v>0</v>
      </c>
    </row>
    <row r="35" spans="1:15" ht="17.25">
      <c r="A35" s="281"/>
      <c r="B35" s="106" t="s">
        <v>78</v>
      </c>
      <c r="C35" s="177"/>
      <c r="D35" s="177"/>
      <c r="E35" s="177"/>
      <c r="F35" s="177"/>
      <c r="G35" s="177"/>
      <c r="H35" s="177"/>
      <c r="I35" s="244"/>
      <c r="J35" s="244"/>
      <c r="K35" s="177"/>
      <c r="L35" s="177"/>
      <c r="M35" s="177"/>
      <c r="N35" s="177"/>
      <c r="O35" s="177"/>
    </row>
    <row r="36" spans="1:15" ht="34.5">
      <c r="A36" s="282"/>
      <c r="B36" s="100" t="s">
        <v>186</v>
      </c>
      <c r="C36" s="177"/>
      <c r="D36" s="177"/>
      <c r="E36" s="177"/>
      <c r="F36" s="177"/>
      <c r="G36" s="177"/>
      <c r="H36" s="177"/>
      <c r="I36" s="244"/>
      <c r="J36" s="244"/>
      <c r="K36" s="177"/>
      <c r="L36" s="177"/>
      <c r="M36" s="177"/>
      <c r="N36" s="177"/>
      <c r="O36" s="177"/>
    </row>
    <row r="37" spans="1:15" ht="49.5" customHeight="1">
      <c r="A37" s="282">
        <v>1</v>
      </c>
      <c r="B37" s="101" t="s">
        <v>355</v>
      </c>
      <c r="C37" s="177" t="s">
        <v>1</v>
      </c>
      <c r="D37" s="177">
        <v>1</v>
      </c>
      <c r="E37" s="177">
        <v>25373000</v>
      </c>
      <c r="F37" s="244">
        <v>25373</v>
      </c>
      <c r="G37" s="177">
        <v>1</v>
      </c>
      <c r="H37" s="245">
        <v>30000000</v>
      </c>
      <c r="I37" s="244">
        <f>G37*H37/1000</f>
        <v>30000</v>
      </c>
      <c r="J37" s="245">
        <v>1</v>
      </c>
      <c r="K37" s="245">
        <v>30000000</v>
      </c>
      <c r="L37" s="244">
        <f>J37*K37/1000</f>
        <v>30000</v>
      </c>
      <c r="M37" s="244">
        <f>J37-G37</f>
        <v>0</v>
      </c>
      <c r="N37" s="245">
        <f aca="true" t="shared" si="4" ref="N37:O39">K37-H37</f>
        <v>0</v>
      </c>
      <c r="O37" s="244">
        <f t="shared" si="4"/>
        <v>0</v>
      </c>
    </row>
    <row r="38" spans="1:15" ht="52.5" customHeight="1">
      <c r="A38" s="177">
        <v>2</v>
      </c>
      <c r="B38" s="101" t="s">
        <v>355</v>
      </c>
      <c r="C38" s="177" t="s">
        <v>1</v>
      </c>
      <c r="D38" s="177">
        <v>1</v>
      </c>
      <c r="E38" s="177">
        <v>7898550</v>
      </c>
      <c r="F38" s="244">
        <v>7898.55</v>
      </c>
      <c r="G38" s="177">
        <v>1</v>
      </c>
      <c r="H38" s="245">
        <v>5040000</v>
      </c>
      <c r="I38" s="244">
        <f>G38*H38/1000</f>
        <v>5040</v>
      </c>
      <c r="J38" s="245">
        <v>1</v>
      </c>
      <c r="K38" s="245">
        <v>5040000</v>
      </c>
      <c r="L38" s="244">
        <f>J38*K38/1000</f>
        <v>5040</v>
      </c>
      <c r="M38" s="244">
        <f>J38-G38</f>
        <v>0</v>
      </c>
      <c r="N38" s="245">
        <f t="shared" si="4"/>
        <v>0</v>
      </c>
      <c r="O38" s="244">
        <f t="shared" si="4"/>
        <v>0</v>
      </c>
    </row>
    <row r="39" spans="1:15" ht="34.5">
      <c r="A39" s="177">
        <v>3</v>
      </c>
      <c r="B39" s="101" t="s">
        <v>355</v>
      </c>
      <c r="C39" s="177" t="s">
        <v>1</v>
      </c>
      <c r="D39" s="177">
        <v>1</v>
      </c>
      <c r="E39" s="177">
        <v>4428000</v>
      </c>
      <c r="F39" s="244">
        <v>4428</v>
      </c>
      <c r="G39" s="177">
        <v>1</v>
      </c>
      <c r="H39" s="245">
        <v>9444000</v>
      </c>
      <c r="I39" s="244">
        <f>G39*H39/1000</f>
        <v>9444</v>
      </c>
      <c r="J39" s="245">
        <v>1</v>
      </c>
      <c r="K39" s="245">
        <v>9444000</v>
      </c>
      <c r="L39" s="244">
        <f>J39*K39/1000</f>
        <v>9444</v>
      </c>
      <c r="M39" s="244">
        <f>J39-G39</f>
        <v>0</v>
      </c>
      <c r="N39" s="245">
        <f t="shared" si="4"/>
        <v>0</v>
      </c>
      <c r="O39" s="244">
        <f t="shared" si="4"/>
        <v>0</v>
      </c>
    </row>
    <row r="40" spans="1:15" ht="17.25">
      <c r="A40" s="177"/>
      <c r="B40" s="177"/>
      <c r="C40" s="177" t="s">
        <v>1</v>
      </c>
      <c r="D40" s="177"/>
      <c r="E40" s="177"/>
      <c r="F40" s="177"/>
      <c r="G40" s="177"/>
      <c r="H40" s="177"/>
      <c r="I40" s="244"/>
      <c r="J40" s="244"/>
      <c r="K40" s="177"/>
      <c r="L40" s="244"/>
      <c r="M40" s="244">
        <f>J40-G40</f>
        <v>0</v>
      </c>
      <c r="N40" s="177"/>
      <c r="O40" s="244">
        <f>L40-I40</f>
        <v>0</v>
      </c>
    </row>
    <row r="41" spans="1:16" s="306" customFormat="1" ht="48" customHeight="1">
      <c r="A41" s="249" t="s">
        <v>153</v>
      </c>
      <c r="B41" s="249" t="s">
        <v>187</v>
      </c>
      <c r="C41" s="250" t="s">
        <v>356</v>
      </c>
      <c r="D41" s="250">
        <v>2</v>
      </c>
      <c r="E41" s="250"/>
      <c r="F41" s="269">
        <f>F44+F45</f>
        <v>29726.22</v>
      </c>
      <c r="G41" s="250">
        <v>2</v>
      </c>
      <c r="H41" s="250"/>
      <c r="I41" s="285">
        <f>SUM(I44:I46)</f>
        <v>73160.6</v>
      </c>
      <c r="J41" s="285">
        <v>2</v>
      </c>
      <c r="K41" s="250"/>
      <c r="L41" s="285">
        <f>SUM(L44:L46)</f>
        <v>71328</v>
      </c>
      <c r="M41" s="285">
        <f>J41-G41</f>
        <v>0</v>
      </c>
      <c r="N41" s="250"/>
      <c r="O41" s="285">
        <f>L41-I41</f>
        <v>-1832.6000000000058</v>
      </c>
      <c r="P41" s="309"/>
    </row>
    <row r="42" spans="1:15" ht="17.25">
      <c r="A42" s="281"/>
      <c r="B42" s="106" t="s">
        <v>78</v>
      </c>
      <c r="C42" s="177"/>
      <c r="D42" s="177"/>
      <c r="E42" s="177"/>
      <c r="F42" s="177"/>
      <c r="G42" s="177"/>
      <c r="H42" s="177"/>
      <c r="I42" s="244"/>
      <c r="J42" s="244"/>
      <c r="K42" s="177"/>
      <c r="L42" s="177"/>
      <c r="M42" s="177"/>
      <c r="N42" s="177"/>
      <c r="O42" s="177"/>
    </row>
    <row r="43" spans="1:15" ht="34.5">
      <c r="A43" s="282"/>
      <c r="B43" s="100" t="s">
        <v>186</v>
      </c>
      <c r="C43" s="177"/>
      <c r="D43" s="177"/>
      <c r="E43" s="177"/>
      <c r="F43" s="177"/>
      <c r="G43" s="177"/>
      <c r="H43" s="177"/>
      <c r="I43" s="244"/>
      <c r="J43" s="244"/>
      <c r="K43" s="177"/>
      <c r="L43" s="177"/>
      <c r="M43" s="177"/>
      <c r="N43" s="177"/>
      <c r="O43" s="177"/>
    </row>
    <row r="44" spans="1:16" ht="17.25">
      <c r="A44" s="177">
        <v>1</v>
      </c>
      <c r="B44" s="101" t="s">
        <v>357</v>
      </c>
      <c r="C44" s="177" t="s">
        <v>1</v>
      </c>
      <c r="D44" s="177">
        <v>1</v>
      </c>
      <c r="E44" s="177">
        <v>7465500</v>
      </c>
      <c r="F44" s="268">
        <v>7465.5</v>
      </c>
      <c r="G44" s="244">
        <v>1</v>
      </c>
      <c r="H44" s="245">
        <v>17604000</v>
      </c>
      <c r="I44" s="244">
        <f>G44*H44/1000</f>
        <v>17604</v>
      </c>
      <c r="J44" s="244">
        <v>1</v>
      </c>
      <c r="K44" s="177">
        <v>17208000</v>
      </c>
      <c r="L44" s="244">
        <f>J44*K44/1000</f>
        <v>17208</v>
      </c>
      <c r="M44" s="244">
        <f aca="true" t="shared" si="5" ref="M44:O45">J44-G44</f>
        <v>0</v>
      </c>
      <c r="N44" s="244">
        <f t="shared" si="5"/>
        <v>-396000</v>
      </c>
      <c r="O44" s="244">
        <f t="shared" si="5"/>
        <v>-396</v>
      </c>
      <c r="P44" s="280"/>
    </row>
    <row r="45" spans="1:16" ht="17.25">
      <c r="A45" s="177">
        <v>2</v>
      </c>
      <c r="B45" s="177" t="s">
        <v>358</v>
      </c>
      <c r="C45" s="177" t="s">
        <v>1</v>
      </c>
      <c r="D45" s="177">
        <v>1</v>
      </c>
      <c r="E45" s="177">
        <v>22260720</v>
      </c>
      <c r="F45" s="268">
        <v>22260.72</v>
      </c>
      <c r="G45" s="244">
        <v>1</v>
      </c>
      <c r="H45" s="177">
        <v>55556600</v>
      </c>
      <c r="I45" s="244">
        <f>G45*H45/1000</f>
        <v>55556.6</v>
      </c>
      <c r="J45" s="244">
        <v>1</v>
      </c>
      <c r="K45" s="177">
        <v>54120000</v>
      </c>
      <c r="L45" s="244">
        <f>J45*K45/1000</f>
        <v>54120</v>
      </c>
      <c r="M45" s="244">
        <f t="shared" si="5"/>
        <v>0</v>
      </c>
      <c r="N45" s="244">
        <f t="shared" si="5"/>
        <v>-1436600</v>
      </c>
      <c r="O45" s="244">
        <f t="shared" si="5"/>
        <v>-1436.5999999999985</v>
      </c>
      <c r="P45" s="280"/>
    </row>
    <row r="46" spans="1:15" ht="17.25">
      <c r="A46" s="177"/>
      <c r="B46" s="177"/>
      <c r="C46" s="177" t="s">
        <v>1</v>
      </c>
      <c r="D46" s="177"/>
      <c r="E46" s="177"/>
      <c r="F46" s="177"/>
      <c r="G46" s="177"/>
      <c r="H46" s="177"/>
      <c r="I46" s="244"/>
      <c r="J46" s="244"/>
      <c r="K46" s="177"/>
      <c r="L46" s="244"/>
      <c r="M46" s="244">
        <f>J46-G46</f>
        <v>0</v>
      </c>
      <c r="N46" s="177"/>
      <c r="O46" s="244">
        <f>L46-I46</f>
        <v>0</v>
      </c>
    </row>
    <row r="47" spans="1:16" s="306" customFormat="1" ht="23.25" customHeight="1">
      <c r="A47" s="249" t="s">
        <v>153</v>
      </c>
      <c r="B47" s="249" t="s">
        <v>30</v>
      </c>
      <c r="C47" s="250">
        <v>4232</v>
      </c>
      <c r="D47" s="250">
        <f>SUM(D50:D57)</f>
        <v>7</v>
      </c>
      <c r="E47" s="250"/>
      <c r="F47" s="269">
        <f>F50+F51+F52+F53+F54+F55+F56+F57</f>
        <v>6771.45</v>
      </c>
      <c r="G47" s="250">
        <f>SUM(G50:G57)</f>
        <v>7</v>
      </c>
      <c r="H47" s="250"/>
      <c r="I47" s="285">
        <f>SUM(I50:I56)</f>
        <v>7559.8</v>
      </c>
      <c r="J47" s="250">
        <f>SUM(J50:J57)</f>
        <v>7</v>
      </c>
      <c r="K47" s="250"/>
      <c r="L47" s="285">
        <f>SUM(L50:L56)</f>
        <v>8689</v>
      </c>
      <c r="M47" s="285">
        <f>J47-G47</f>
        <v>0</v>
      </c>
      <c r="N47" s="250"/>
      <c r="O47" s="285">
        <f>L47-I47</f>
        <v>1129.1999999999998</v>
      </c>
      <c r="P47" s="310"/>
    </row>
    <row r="48" spans="1:15" ht="17.25">
      <c r="A48" s="281"/>
      <c r="B48" s="106" t="s">
        <v>78</v>
      </c>
      <c r="C48" s="177"/>
      <c r="D48" s="177"/>
      <c r="E48" s="177"/>
      <c r="F48" s="177"/>
      <c r="G48" s="177"/>
      <c r="H48" s="177"/>
      <c r="I48" s="244"/>
      <c r="J48" s="244"/>
      <c r="K48" s="177"/>
      <c r="L48" s="177"/>
      <c r="M48" s="177"/>
      <c r="N48" s="177"/>
      <c r="O48" s="177"/>
    </row>
    <row r="49" spans="1:15" ht="34.5">
      <c r="A49" s="282"/>
      <c r="B49" s="100" t="s">
        <v>186</v>
      </c>
      <c r="C49" s="177"/>
      <c r="D49" s="177"/>
      <c r="E49" s="177"/>
      <c r="F49" s="177"/>
      <c r="G49" s="177"/>
      <c r="H49" s="177"/>
      <c r="I49" s="244"/>
      <c r="J49" s="244"/>
      <c r="K49" s="177"/>
      <c r="L49" s="177"/>
      <c r="M49" s="177"/>
      <c r="N49" s="177"/>
      <c r="O49" s="177"/>
    </row>
    <row r="50" spans="1:15" ht="34.5">
      <c r="A50" s="282">
        <v>1</v>
      </c>
      <c r="B50" s="106" t="s">
        <v>364</v>
      </c>
      <c r="C50" s="177" t="s">
        <v>1</v>
      </c>
      <c r="D50" s="177">
        <v>1</v>
      </c>
      <c r="E50" s="177">
        <v>591540</v>
      </c>
      <c r="F50" s="244">
        <v>591.54</v>
      </c>
      <c r="G50" s="114">
        <v>1</v>
      </c>
      <c r="H50" s="247">
        <v>591800</v>
      </c>
      <c r="I50" s="247">
        <f aca="true" t="shared" si="6" ref="I50:I56">G50*H50/1000</f>
        <v>591.8</v>
      </c>
      <c r="J50" s="247">
        <v>1</v>
      </c>
      <c r="K50" s="114">
        <v>700000</v>
      </c>
      <c r="L50" s="247">
        <f>J50*K50/1000</f>
        <v>700</v>
      </c>
      <c r="M50" s="247">
        <f aca="true" t="shared" si="7" ref="M50:O56">J50-G50</f>
        <v>0</v>
      </c>
      <c r="N50" s="247">
        <f t="shared" si="7"/>
        <v>108200</v>
      </c>
      <c r="O50" s="247">
        <f t="shared" si="7"/>
        <v>108.20000000000005</v>
      </c>
    </row>
    <row r="51" spans="1:15" ht="17.25">
      <c r="A51" s="282">
        <v>2</v>
      </c>
      <c r="B51" s="106" t="s">
        <v>981</v>
      </c>
      <c r="C51" s="177" t="s">
        <v>1</v>
      </c>
      <c r="D51" s="177">
        <v>1</v>
      </c>
      <c r="E51" s="177">
        <v>600000</v>
      </c>
      <c r="F51" s="244">
        <v>600</v>
      </c>
      <c r="G51" s="114">
        <v>1</v>
      </c>
      <c r="H51" s="245">
        <v>600000</v>
      </c>
      <c r="I51" s="244">
        <f t="shared" si="6"/>
        <v>600</v>
      </c>
      <c r="J51" s="244">
        <v>1</v>
      </c>
      <c r="K51" s="177">
        <v>600000</v>
      </c>
      <c r="L51" s="244">
        <f>J51*K51/1000</f>
        <v>600</v>
      </c>
      <c r="M51" s="247">
        <f t="shared" si="7"/>
        <v>0</v>
      </c>
      <c r="N51" s="247">
        <f t="shared" si="7"/>
        <v>0</v>
      </c>
      <c r="O51" s="247">
        <f t="shared" si="7"/>
        <v>0</v>
      </c>
    </row>
    <row r="52" spans="1:15" ht="34.5">
      <c r="A52" s="177">
        <v>3</v>
      </c>
      <c r="B52" s="248" t="s">
        <v>359</v>
      </c>
      <c r="C52" s="177" t="s">
        <v>1</v>
      </c>
      <c r="D52" s="177">
        <v>1</v>
      </c>
      <c r="E52" s="177">
        <v>1599990</v>
      </c>
      <c r="F52" s="244">
        <v>1599.99</v>
      </c>
      <c r="G52" s="114">
        <v>1</v>
      </c>
      <c r="H52" s="245">
        <v>2200000</v>
      </c>
      <c r="I52" s="244">
        <f t="shared" si="6"/>
        <v>2200</v>
      </c>
      <c r="J52" s="244">
        <v>1</v>
      </c>
      <c r="K52" s="177">
        <v>2200000</v>
      </c>
      <c r="L52" s="244">
        <f>J52*K52/1000</f>
        <v>2200</v>
      </c>
      <c r="M52" s="247">
        <f t="shared" si="7"/>
        <v>0</v>
      </c>
      <c r="N52" s="307">
        <f t="shared" si="7"/>
        <v>0</v>
      </c>
      <c r="O52" s="244">
        <f t="shared" si="7"/>
        <v>0</v>
      </c>
    </row>
    <row r="53" spans="1:15" ht="51.75">
      <c r="A53" s="177">
        <v>4</v>
      </c>
      <c r="B53" s="248" t="s">
        <v>360</v>
      </c>
      <c r="C53" s="177" t="s">
        <v>1</v>
      </c>
      <c r="D53" s="177">
        <v>1</v>
      </c>
      <c r="E53" s="177"/>
      <c r="F53" s="244">
        <v>0</v>
      </c>
      <c r="G53" s="114">
        <v>1</v>
      </c>
      <c r="H53" s="245"/>
      <c r="I53" s="244">
        <f t="shared" si="6"/>
        <v>0</v>
      </c>
      <c r="J53" s="244">
        <v>1</v>
      </c>
      <c r="K53" s="177">
        <v>25000</v>
      </c>
      <c r="L53" s="280">
        <f>(J53*K53)/1000</f>
        <v>25</v>
      </c>
      <c r="M53" s="247">
        <f t="shared" si="7"/>
        <v>0</v>
      </c>
      <c r="N53" s="512">
        <f t="shared" si="7"/>
        <v>25000</v>
      </c>
      <c r="O53" s="244">
        <f t="shared" si="7"/>
        <v>25</v>
      </c>
    </row>
    <row r="54" spans="1:15" ht="34.5">
      <c r="A54" s="177">
        <v>5</v>
      </c>
      <c r="B54" s="106" t="s">
        <v>361</v>
      </c>
      <c r="C54" s="177" t="s">
        <v>1</v>
      </c>
      <c r="D54" s="177">
        <v>1</v>
      </c>
      <c r="E54" s="177">
        <v>456000</v>
      </c>
      <c r="F54" s="244">
        <v>456</v>
      </c>
      <c r="G54" s="114">
        <v>1</v>
      </c>
      <c r="H54" s="245">
        <v>664000</v>
      </c>
      <c r="I54" s="244">
        <f t="shared" si="6"/>
        <v>664</v>
      </c>
      <c r="J54" s="244">
        <v>1</v>
      </c>
      <c r="K54" s="177">
        <v>1660000</v>
      </c>
      <c r="L54" s="244">
        <f>J54*K54/1000</f>
        <v>1660</v>
      </c>
      <c r="M54" s="247">
        <f t="shared" si="7"/>
        <v>0</v>
      </c>
      <c r="N54" s="307">
        <f t="shared" si="7"/>
        <v>996000</v>
      </c>
      <c r="O54" s="244">
        <f t="shared" si="7"/>
        <v>996</v>
      </c>
    </row>
    <row r="55" spans="1:15" ht="34.5">
      <c r="A55" s="177">
        <v>6</v>
      </c>
      <c r="B55" s="106" t="s">
        <v>362</v>
      </c>
      <c r="C55" s="177" t="s">
        <v>1</v>
      </c>
      <c r="D55" s="177">
        <v>1</v>
      </c>
      <c r="E55" s="177">
        <v>1200000</v>
      </c>
      <c r="F55" s="244">
        <v>1200</v>
      </c>
      <c r="G55" s="114">
        <v>1</v>
      </c>
      <c r="H55" s="245">
        <v>1200000</v>
      </c>
      <c r="I55" s="244">
        <f t="shared" si="6"/>
        <v>1200</v>
      </c>
      <c r="J55" s="244">
        <v>1</v>
      </c>
      <c r="K55" s="177">
        <v>1200000</v>
      </c>
      <c r="L55" s="244">
        <f>J55*K55/1000</f>
        <v>1200</v>
      </c>
      <c r="M55" s="247">
        <f t="shared" si="7"/>
        <v>0</v>
      </c>
      <c r="N55" s="247">
        <f t="shared" si="7"/>
        <v>0</v>
      </c>
      <c r="O55" s="244">
        <f t="shared" si="7"/>
        <v>0</v>
      </c>
    </row>
    <row r="56" spans="1:15" ht="34.5">
      <c r="A56" s="177">
        <v>7</v>
      </c>
      <c r="B56" s="99" t="s">
        <v>363</v>
      </c>
      <c r="C56" s="177" t="s">
        <v>1</v>
      </c>
      <c r="D56" s="177">
        <v>1</v>
      </c>
      <c r="E56" s="177">
        <v>2304000</v>
      </c>
      <c r="F56" s="244">
        <v>2304</v>
      </c>
      <c r="G56" s="114">
        <v>1</v>
      </c>
      <c r="H56" s="245">
        <v>2304000</v>
      </c>
      <c r="I56" s="244">
        <f t="shared" si="6"/>
        <v>2304</v>
      </c>
      <c r="J56" s="244">
        <v>1</v>
      </c>
      <c r="K56" s="177">
        <v>2304000</v>
      </c>
      <c r="L56" s="244">
        <f>J56*K56/1000</f>
        <v>2304</v>
      </c>
      <c r="M56" s="247">
        <f t="shared" si="7"/>
        <v>0</v>
      </c>
      <c r="N56" s="247">
        <f t="shared" si="7"/>
        <v>0</v>
      </c>
      <c r="O56" s="244">
        <f t="shared" si="7"/>
        <v>0</v>
      </c>
    </row>
    <row r="57" spans="1:15" ht="17.25">
      <c r="A57" s="177">
        <v>8</v>
      </c>
      <c r="B57" s="99" t="s">
        <v>932</v>
      </c>
      <c r="C57" s="177"/>
      <c r="D57" s="177"/>
      <c r="E57" s="177">
        <v>19920</v>
      </c>
      <c r="F57" s="256">
        <v>19.92</v>
      </c>
      <c r="G57" s="114"/>
      <c r="H57" s="245"/>
      <c r="I57" s="244"/>
      <c r="J57" s="244"/>
      <c r="K57" s="177"/>
      <c r="L57" s="244"/>
      <c r="M57" s="247"/>
      <c r="N57" s="307"/>
      <c r="O57" s="244"/>
    </row>
    <row r="58" spans="1:16" s="306" customFormat="1" ht="45" customHeight="1">
      <c r="A58" s="249" t="s">
        <v>153</v>
      </c>
      <c r="B58" s="250" t="s">
        <v>825</v>
      </c>
      <c r="C58" s="250">
        <v>4233</v>
      </c>
      <c r="D58" s="250">
        <v>1</v>
      </c>
      <c r="E58" s="250"/>
      <c r="F58" s="269">
        <f>F62</f>
        <v>323.7</v>
      </c>
      <c r="G58" s="250">
        <v>1</v>
      </c>
      <c r="H58" s="250"/>
      <c r="I58" s="285">
        <f>SUM(I62)</f>
        <v>806.4</v>
      </c>
      <c r="J58" s="285">
        <v>1</v>
      </c>
      <c r="K58" s="250"/>
      <c r="L58" s="285">
        <f>SUM(L62)</f>
        <v>945</v>
      </c>
      <c r="M58" s="285">
        <f>J58-G58</f>
        <v>0</v>
      </c>
      <c r="N58" s="250"/>
      <c r="O58" s="285">
        <f>L58-I58</f>
        <v>138.60000000000002</v>
      </c>
      <c r="P58" s="309"/>
    </row>
    <row r="59" spans="1:15" ht="17.25">
      <c r="A59" s="281"/>
      <c r="B59" s="106" t="s">
        <v>78</v>
      </c>
      <c r="C59" s="177"/>
      <c r="D59" s="177"/>
      <c r="E59" s="177"/>
      <c r="F59" s="177"/>
      <c r="G59" s="177"/>
      <c r="H59" s="177"/>
      <c r="I59" s="244"/>
      <c r="J59" s="244"/>
      <c r="K59" s="177"/>
      <c r="L59" s="177"/>
      <c r="M59" s="177"/>
      <c r="N59" s="177"/>
      <c r="O59" s="177"/>
    </row>
    <row r="60" spans="1:15" ht="34.5">
      <c r="A60" s="282"/>
      <c r="B60" s="100" t="s">
        <v>186</v>
      </c>
      <c r="C60" s="177"/>
      <c r="D60" s="177"/>
      <c r="E60" s="177"/>
      <c r="F60" s="177"/>
      <c r="G60" s="177"/>
      <c r="H60" s="177"/>
      <c r="I60" s="244"/>
      <c r="J60" s="244"/>
      <c r="K60" s="177"/>
      <c r="L60" s="177"/>
      <c r="M60" s="177"/>
      <c r="N60" s="177"/>
      <c r="O60" s="177"/>
    </row>
    <row r="61" spans="1:15" ht="17.25">
      <c r="A61" s="177"/>
      <c r="B61" s="99"/>
      <c r="C61" s="177"/>
      <c r="D61" s="177"/>
      <c r="E61" s="177"/>
      <c r="F61" s="177"/>
      <c r="G61" s="114"/>
      <c r="H61" s="245"/>
      <c r="I61" s="244"/>
      <c r="J61" s="244"/>
      <c r="K61" s="177"/>
      <c r="L61" s="244"/>
      <c r="M61" s="247"/>
      <c r="N61" s="307"/>
      <c r="O61" s="244"/>
    </row>
    <row r="62" spans="1:16" ht="30">
      <c r="A62" s="177"/>
      <c r="B62" s="311" t="s">
        <v>804</v>
      </c>
      <c r="C62" s="177" t="s">
        <v>1</v>
      </c>
      <c r="D62" s="177">
        <v>1</v>
      </c>
      <c r="E62" s="177">
        <v>323700</v>
      </c>
      <c r="F62" s="312">
        <v>323.7</v>
      </c>
      <c r="G62" s="114">
        <v>1</v>
      </c>
      <c r="H62" s="245">
        <v>806400</v>
      </c>
      <c r="I62" s="244">
        <f>G62*H62/1000</f>
        <v>806.4</v>
      </c>
      <c r="J62" s="245">
        <v>1</v>
      </c>
      <c r="K62" s="244">
        <v>945000</v>
      </c>
      <c r="L62" s="244">
        <f>J62*K62/1000</f>
        <v>945</v>
      </c>
      <c r="M62" s="307">
        <v>1</v>
      </c>
      <c r="N62" s="247">
        <f>K62-H62</f>
        <v>138600</v>
      </c>
      <c r="O62" s="244">
        <f>L62-I62</f>
        <v>138.60000000000002</v>
      </c>
      <c r="P62" s="280"/>
    </row>
    <row r="63" spans="1:15" ht="17.25">
      <c r="A63" s="177"/>
      <c r="B63" s="177"/>
      <c r="C63" s="177"/>
      <c r="D63" s="177"/>
      <c r="E63" s="177"/>
      <c r="F63" s="177"/>
      <c r="G63" s="177"/>
      <c r="H63" s="177"/>
      <c r="I63" s="244"/>
      <c r="J63" s="244"/>
      <c r="K63" s="177"/>
      <c r="L63" s="244"/>
      <c r="M63" s="244"/>
      <c r="N63" s="177"/>
      <c r="O63" s="244"/>
    </row>
    <row r="64" spans="1:15" ht="17.25">
      <c r="A64" s="177"/>
      <c r="B64" s="177"/>
      <c r="C64" s="177"/>
      <c r="D64" s="177"/>
      <c r="E64" s="177"/>
      <c r="F64" s="177"/>
      <c r="G64" s="177"/>
      <c r="H64" s="177"/>
      <c r="I64" s="244"/>
      <c r="J64" s="244"/>
      <c r="K64" s="177"/>
      <c r="L64" s="244"/>
      <c r="M64" s="244"/>
      <c r="N64" s="177"/>
      <c r="O64" s="244"/>
    </row>
    <row r="65" spans="1:15" s="306" customFormat="1" ht="23.25" customHeight="1">
      <c r="A65" s="249" t="s">
        <v>153</v>
      </c>
      <c r="B65" s="249" t="s">
        <v>31</v>
      </c>
      <c r="C65" s="250">
        <v>4234</v>
      </c>
      <c r="D65" s="250">
        <v>1</v>
      </c>
      <c r="E65" s="250"/>
      <c r="F65" s="284">
        <f>F68+F69+F70+F71</f>
        <v>360</v>
      </c>
      <c r="G65" s="250">
        <v>4</v>
      </c>
      <c r="H65" s="250"/>
      <c r="I65" s="285">
        <f>SUM(I68:I71)</f>
        <v>680</v>
      </c>
      <c r="J65" s="285">
        <v>4</v>
      </c>
      <c r="K65" s="250"/>
      <c r="L65" s="285">
        <f>SUM(L68:L71)</f>
        <v>680</v>
      </c>
      <c r="M65" s="285">
        <f>J65-G65</f>
        <v>0</v>
      </c>
      <c r="N65" s="285">
        <f>K65-H65</f>
        <v>0</v>
      </c>
      <c r="O65" s="285">
        <f>L65-I65</f>
        <v>0</v>
      </c>
    </row>
    <row r="66" spans="1:15" ht="17.25">
      <c r="A66" s="281"/>
      <c r="B66" s="106" t="s">
        <v>78</v>
      </c>
      <c r="C66" s="177"/>
      <c r="D66" s="177"/>
      <c r="E66" s="177"/>
      <c r="F66" s="177"/>
      <c r="G66" s="177"/>
      <c r="H66" s="177"/>
      <c r="I66" s="244"/>
      <c r="J66" s="244"/>
      <c r="K66" s="177"/>
      <c r="L66" s="177"/>
      <c r="M66" s="177"/>
      <c r="N66" s="177"/>
      <c r="O66" s="177"/>
    </row>
    <row r="67" spans="1:15" ht="34.5">
      <c r="A67" s="282"/>
      <c r="B67" s="100" t="s">
        <v>186</v>
      </c>
      <c r="C67" s="177"/>
      <c r="D67" s="177"/>
      <c r="E67" s="177"/>
      <c r="F67" s="177"/>
      <c r="G67" s="177"/>
      <c r="H67" s="177"/>
      <c r="I67" s="244"/>
      <c r="J67" s="244"/>
      <c r="K67" s="177"/>
      <c r="L67" s="177"/>
      <c r="M67" s="177"/>
      <c r="N67" s="177"/>
      <c r="O67" s="177"/>
    </row>
    <row r="68" spans="1:15" ht="17.25">
      <c r="A68" s="177">
        <v>1</v>
      </c>
      <c r="B68" s="107" t="s">
        <v>365</v>
      </c>
      <c r="C68" s="177" t="s">
        <v>1</v>
      </c>
      <c r="D68" s="177"/>
      <c r="E68" s="177"/>
      <c r="F68" s="177"/>
      <c r="G68" s="177">
        <v>400</v>
      </c>
      <c r="H68" s="177">
        <v>500</v>
      </c>
      <c r="I68" s="244">
        <f>G68*H68/1000</f>
        <v>200</v>
      </c>
      <c r="J68" s="244">
        <v>400</v>
      </c>
      <c r="K68" s="177">
        <v>500</v>
      </c>
      <c r="L68" s="244">
        <f>J68*K68/1000</f>
        <v>200</v>
      </c>
      <c r="M68" s="244">
        <f aca="true" t="shared" si="8" ref="M68:O71">J68-G68</f>
        <v>0</v>
      </c>
      <c r="N68" s="247">
        <f t="shared" si="8"/>
        <v>0</v>
      </c>
      <c r="O68" s="244">
        <f t="shared" si="8"/>
        <v>0</v>
      </c>
    </row>
    <row r="69" spans="1:15" ht="17.25">
      <c r="A69" s="177">
        <v>2</v>
      </c>
      <c r="B69" s="107" t="s">
        <v>365</v>
      </c>
      <c r="C69" s="177"/>
      <c r="D69" s="177"/>
      <c r="E69" s="177"/>
      <c r="F69" s="177"/>
      <c r="G69" s="177">
        <v>200</v>
      </c>
      <c r="H69" s="177">
        <v>350</v>
      </c>
      <c r="I69" s="244">
        <f>G69*H69/1000</f>
        <v>70</v>
      </c>
      <c r="J69" s="244">
        <v>200</v>
      </c>
      <c r="K69" s="177">
        <v>350</v>
      </c>
      <c r="L69" s="244">
        <f>J69*K69/1000</f>
        <v>70</v>
      </c>
      <c r="M69" s="244">
        <f t="shared" si="8"/>
        <v>0</v>
      </c>
      <c r="N69" s="247">
        <f t="shared" si="8"/>
        <v>0</v>
      </c>
      <c r="O69" s="244">
        <f t="shared" si="8"/>
        <v>0</v>
      </c>
    </row>
    <row r="70" spans="1:15" ht="17.25">
      <c r="A70" s="177">
        <v>3</v>
      </c>
      <c r="B70" s="107" t="s">
        <v>365</v>
      </c>
      <c r="C70" s="177" t="s">
        <v>1</v>
      </c>
      <c r="D70" s="177"/>
      <c r="E70" s="177"/>
      <c r="F70" s="177"/>
      <c r="G70" s="177">
        <v>10</v>
      </c>
      <c r="H70" s="177">
        <v>5000</v>
      </c>
      <c r="I70" s="244">
        <f>G70*H70/1000</f>
        <v>50</v>
      </c>
      <c r="J70" s="244">
        <v>10</v>
      </c>
      <c r="K70" s="177">
        <v>5000</v>
      </c>
      <c r="L70" s="244">
        <f>J70*K70/1000</f>
        <v>50</v>
      </c>
      <c r="M70" s="244">
        <f t="shared" si="8"/>
        <v>0</v>
      </c>
      <c r="N70" s="247">
        <f t="shared" si="8"/>
        <v>0</v>
      </c>
      <c r="O70" s="244">
        <f t="shared" si="8"/>
        <v>0</v>
      </c>
    </row>
    <row r="71" spans="1:15" ht="34.5">
      <c r="A71" s="177">
        <v>4</v>
      </c>
      <c r="B71" s="107" t="s">
        <v>366</v>
      </c>
      <c r="C71" s="177" t="s">
        <v>1</v>
      </c>
      <c r="D71" s="177">
        <v>1</v>
      </c>
      <c r="E71" s="177">
        <v>360000</v>
      </c>
      <c r="F71" s="280">
        <v>360</v>
      </c>
      <c r="G71" s="177">
        <v>1</v>
      </c>
      <c r="H71" s="244">
        <v>360000</v>
      </c>
      <c r="I71" s="244">
        <f>G71*H71/1000</f>
        <v>360</v>
      </c>
      <c r="J71" s="244">
        <v>1</v>
      </c>
      <c r="K71" s="177">
        <v>360000</v>
      </c>
      <c r="L71" s="244">
        <f>K71*J71/1000</f>
        <v>360</v>
      </c>
      <c r="M71" s="244">
        <f t="shared" si="8"/>
        <v>0</v>
      </c>
      <c r="N71" s="247">
        <f t="shared" si="8"/>
        <v>0</v>
      </c>
      <c r="O71" s="244">
        <f t="shared" si="8"/>
        <v>0</v>
      </c>
    </row>
    <row r="72" spans="1:15" ht="17.25">
      <c r="A72" s="177"/>
      <c r="B72" s="107"/>
      <c r="C72" s="177"/>
      <c r="D72" s="177"/>
      <c r="E72" s="177"/>
      <c r="F72" s="177"/>
      <c r="G72" s="177"/>
      <c r="H72" s="177"/>
      <c r="I72" s="244"/>
      <c r="J72" s="244"/>
      <c r="K72" s="177"/>
      <c r="L72" s="244"/>
      <c r="M72" s="244"/>
      <c r="N72" s="244"/>
      <c r="O72" s="244"/>
    </row>
    <row r="73" spans="1:15" s="306" customFormat="1" ht="23.25" customHeight="1">
      <c r="A73" s="249" t="s">
        <v>153</v>
      </c>
      <c r="B73" s="249" t="s">
        <v>32</v>
      </c>
      <c r="C73" s="250">
        <v>4235</v>
      </c>
      <c r="D73" s="250">
        <v>1</v>
      </c>
      <c r="E73" s="250"/>
      <c r="F73" s="284">
        <f>F76</f>
        <v>540</v>
      </c>
      <c r="G73" s="250">
        <v>1</v>
      </c>
      <c r="H73" s="250"/>
      <c r="I73" s="285">
        <f>I76</f>
        <v>948</v>
      </c>
      <c r="J73" s="285">
        <v>1</v>
      </c>
      <c r="K73" s="250"/>
      <c r="L73" s="285">
        <f>L76</f>
        <v>948</v>
      </c>
      <c r="M73" s="285">
        <f>J73-G73</f>
        <v>0</v>
      </c>
      <c r="N73" s="284"/>
      <c r="O73" s="285">
        <f>L73-I73</f>
        <v>0</v>
      </c>
    </row>
    <row r="74" spans="1:15" ht="17.25">
      <c r="A74" s="281"/>
      <c r="B74" s="106" t="s">
        <v>78</v>
      </c>
      <c r="C74" s="177"/>
      <c r="D74" s="177"/>
      <c r="E74" s="177"/>
      <c r="F74" s="177"/>
      <c r="G74" s="177"/>
      <c r="H74" s="177"/>
      <c r="I74" s="244"/>
      <c r="J74" s="244"/>
      <c r="K74" s="177"/>
      <c r="L74" s="177"/>
      <c r="M74" s="177"/>
      <c r="N74" s="244"/>
      <c r="O74" s="177"/>
    </row>
    <row r="75" spans="1:15" ht="34.5">
      <c r="A75" s="282"/>
      <c r="B75" s="100" t="s">
        <v>186</v>
      </c>
      <c r="C75" s="177"/>
      <c r="D75" s="177"/>
      <c r="E75" s="177"/>
      <c r="F75" s="177"/>
      <c r="G75" s="177"/>
      <c r="H75" s="177"/>
      <c r="I75" s="244"/>
      <c r="J75" s="244"/>
      <c r="K75" s="177"/>
      <c r="L75" s="177"/>
      <c r="M75" s="177"/>
      <c r="N75" s="244"/>
      <c r="O75" s="177"/>
    </row>
    <row r="76" spans="1:15" ht="17.25">
      <c r="A76" s="177">
        <v>1</v>
      </c>
      <c r="B76" s="177" t="s">
        <v>367</v>
      </c>
      <c r="C76" s="177" t="s">
        <v>1</v>
      </c>
      <c r="D76" s="177">
        <v>1</v>
      </c>
      <c r="E76" s="177">
        <v>540000</v>
      </c>
      <c r="F76" s="280">
        <v>540</v>
      </c>
      <c r="G76" s="177">
        <v>1</v>
      </c>
      <c r="H76" s="177">
        <v>948000</v>
      </c>
      <c r="I76" s="244">
        <f>G76*H76/1000</f>
        <v>948</v>
      </c>
      <c r="J76" s="244">
        <v>1</v>
      </c>
      <c r="K76" s="177">
        <v>948000</v>
      </c>
      <c r="L76" s="244">
        <f>K76*J76/1000</f>
        <v>948</v>
      </c>
      <c r="M76" s="244">
        <f>J76-G76</f>
        <v>0</v>
      </c>
      <c r="N76" s="247">
        <f>K76-H76</f>
        <v>0</v>
      </c>
      <c r="O76" s="244">
        <f>L76-I76</f>
        <v>0</v>
      </c>
    </row>
    <row r="77" spans="1:15" ht="17.25">
      <c r="A77" s="177"/>
      <c r="B77" s="177"/>
      <c r="C77" s="177"/>
      <c r="D77" s="177"/>
      <c r="E77" s="177"/>
      <c r="F77" s="177"/>
      <c r="G77" s="177"/>
      <c r="H77" s="177"/>
      <c r="I77" s="244"/>
      <c r="J77" s="244"/>
      <c r="K77" s="177"/>
      <c r="L77" s="244"/>
      <c r="M77" s="244"/>
      <c r="N77" s="244"/>
      <c r="O77" s="244"/>
    </row>
    <row r="78" spans="1:15" s="306" customFormat="1" ht="39.75" customHeight="1">
      <c r="A78" s="249" t="s">
        <v>153</v>
      </c>
      <c r="B78" s="250" t="s">
        <v>368</v>
      </c>
      <c r="C78" s="250">
        <v>4237</v>
      </c>
      <c r="D78" s="250">
        <v>1</v>
      </c>
      <c r="E78" s="250"/>
      <c r="F78" s="269">
        <f>F81</f>
        <v>618.92</v>
      </c>
      <c r="G78" s="250">
        <v>1</v>
      </c>
      <c r="H78" s="250"/>
      <c r="I78" s="285">
        <f>SUM(I81:I82)</f>
        <v>1500</v>
      </c>
      <c r="J78" s="285">
        <v>1</v>
      </c>
      <c r="K78" s="250"/>
      <c r="L78" s="285">
        <f>SUM(L81:L82)</f>
        <v>1500</v>
      </c>
      <c r="M78" s="285">
        <f>J78-G78</f>
        <v>0</v>
      </c>
      <c r="N78" s="284"/>
      <c r="O78" s="285">
        <f>L78-I78</f>
        <v>0</v>
      </c>
    </row>
    <row r="79" spans="1:15" ht="17.25">
      <c r="A79" s="281"/>
      <c r="B79" s="106" t="s">
        <v>78</v>
      </c>
      <c r="C79" s="177"/>
      <c r="D79" s="177"/>
      <c r="E79" s="177"/>
      <c r="F79" s="177"/>
      <c r="G79" s="177"/>
      <c r="H79" s="177"/>
      <c r="I79" s="244"/>
      <c r="J79" s="244"/>
      <c r="K79" s="177"/>
      <c r="L79" s="177"/>
      <c r="M79" s="177"/>
      <c r="N79" s="244"/>
      <c r="O79" s="177"/>
    </row>
    <row r="80" spans="1:15" ht="34.5">
      <c r="A80" s="282"/>
      <c r="B80" s="100" t="s">
        <v>186</v>
      </c>
      <c r="C80" s="177"/>
      <c r="D80" s="177"/>
      <c r="E80" s="177"/>
      <c r="F80" s="270"/>
      <c r="G80" s="177"/>
      <c r="H80" s="177"/>
      <c r="I80" s="244"/>
      <c r="J80" s="244"/>
      <c r="K80" s="177"/>
      <c r="L80" s="177"/>
      <c r="M80" s="177"/>
      <c r="N80" s="244"/>
      <c r="O80" s="177"/>
    </row>
    <row r="81" spans="1:15" ht="17.25">
      <c r="A81" s="177">
        <v>1</v>
      </c>
      <c r="B81" s="177" t="s">
        <v>374</v>
      </c>
      <c r="C81" s="177" t="s">
        <v>1</v>
      </c>
      <c r="D81" s="177">
        <v>1</v>
      </c>
      <c r="E81" s="177">
        <v>618920</v>
      </c>
      <c r="F81" s="312">
        <v>618.92</v>
      </c>
      <c r="G81" s="177">
        <v>1</v>
      </c>
      <c r="H81" s="177">
        <v>1500000</v>
      </c>
      <c r="I81" s="244">
        <f>G81*H81/1000</f>
        <v>1500</v>
      </c>
      <c r="J81" s="244">
        <v>1</v>
      </c>
      <c r="K81" s="177">
        <v>1500000</v>
      </c>
      <c r="L81" s="244">
        <f>J81*K81/1000</f>
        <v>1500</v>
      </c>
      <c r="M81" s="244">
        <f>J81-G81</f>
        <v>0</v>
      </c>
      <c r="N81" s="247">
        <f>K81-H81</f>
        <v>0</v>
      </c>
      <c r="O81" s="244">
        <f>L81-I81</f>
        <v>0</v>
      </c>
    </row>
    <row r="82" spans="1:15" ht="17.25">
      <c r="A82" s="177"/>
      <c r="B82" s="177"/>
      <c r="C82" s="177" t="s">
        <v>1</v>
      </c>
      <c r="D82" s="177"/>
      <c r="E82" s="177"/>
      <c r="F82" s="177"/>
      <c r="G82" s="177"/>
      <c r="H82" s="177"/>
      <c r="I82" s="244"/>
      <c r="J82" s="244"/>
      <c r="K82" s="177"/>
      <c r="L82" s="244"/>
      <c r="M82" s="244"/>
      <c r="N82" s="177"/>
      <c r="O82" s="244">
        <f>L82-I82</f>
        <v>0</v>
      </c>
    </row>
    <row r="83" spans="1:15" s="306" customFormat="1" ht="39.75" customHeight="1">
      <c r="A83" s="249" t="s">
        <v>153</v>
      </c>
      <c r="B83" s="250" t="s">
        <v>1092</v>
      </c>
      <c r="C83" s="250">
        <v>4239</v>
      </c>
      <c r="D83" s="250">
        <v>3</v>
      </c>
      <c r="E83" s="250"/>
      <c r="F83" s="284">
        <f>F86+F87+F88</f>
        <v>1042</v>
      </c>
      <c r="G83" s="250">
        <v>1</v>
      </c>
      <c r="H83" s="250"/>
      <c r="I83" s="285">
        <f>SUM(I86)</f>
        <v>420</v>
      </c>
      <c r="J83" s="285">
        <v>1</v>
      </c>
      <c r="K83" s="250"/>
      <c r="L83" s="285">
        <f>SUM(L86)</f>
        <v>420</v>
      </c>
      <c r="M83" s="285">
        <f>J83-G83</f>
        <v>0</v>
      </c>
      <c r="N83" s="250"/>
      <c r="O83" s="285">
        <f>L83-I83</f>
        <v>0</v>
      </c>
    </row>
    <row r="84" spans="1:15" ht="17.25">
      <c r="A84" s="281"/>
      <c r="B84" s="106" t="s">
        <v>78</v>
      </c>
      <c r="C84" s="177"/>
      <c r="D84" s="177"/>
      <c r="E84" s="177"/>
      <c r="F84" s="177"/>
      <c r="G84" s="177"/>
      <c r="H84" s="177"/>
      <c r="I84" s="244"/>
      <c r="J84" s="244"/>
      <c r="K84" s="177"/>
      <c r="L84" s="177"/>
      <c r="M84" s="177"/>
      <c r="N84" s="177"/>
      <c r="O84" s="177"/>
    </row>
    <row r="85" spans="1:15" ht="34.5">
      <c r="A85" s="282"/>
      <c r="B85" s="100" t="s">
        <v>186</v>
      </c>
      <c r="C85" s="177"/>
      <c r="D85" s="177"/>
      <c r="E85" s="177"/>
      <c r="F85" s="177"/>
      <c r="G85" s="177"/>
      <c r="H85" s="177"/>
      <c r="I85" s="244"/>
      <c r="J85" s="244"/>
      <c r="K85" s="177"/>
      <c r="L85" s="177"/>
      <c r="M85" s="177"/>
      <c r="N85" s="177"/>
      <c r="O85" s="177"/>
    </row>
    <row r="86" spans="1:15" ht="17.25">
      <c r="A86" s="177">
        <v>1</v>
      </c>
      <c r="B86" s="177" t="s">
        <v>369</v>
      </c>
      <c r="C86" s="177" t="s">
        <v>1</v>
      </c>
      <c r="D86" s="177">
        <v>1</v>
      </c>
      <c r="E86" s="177">
        <v>420000</v>
      </c>
      <c r="F86" s="244">
        <v>420</v>
      </c>
      <c r="G86" s="177">
        <v>1</v>
      </c>
      <c r="H86" s="177">
        <v>420000</v>
      </c>
      <c r="I86" s="244">
        <f>H86*G86/1000</f>
        <v>420</v>
      </c>
      <c r="J86" s="244">
        <v>1</v>
      </c>
      <c r="K86" s="177">
        <v>420000</v>
      </c>
      <c r="L86" s="244">
        <f>K86*J86/1000</f>
        <v>420</v>
      </c>
      <c r="M86" s="244">
        <f>J86-G86</f>
        <v>0</v>
      </c>
      <c r="N86" s="247">
        <f>K86-H86</f>
        <v>0</v>
      </c>
      <c r="O86" s="244">
        <f>L86-I86</f>
        <v>0</v>
      </c>
    </row>
    <row r="87" spans="1:15" ht="17.25">
      <c r="A87" s="177"/>
      <c r="B87" s="259" t="s">
        <v>931</v>
      </c>
      <c r="C87" s="177"/>
      <c r="D87" s="177">
        <v>2</v>
      </c>
      <c r="E87" s="177">
        <v>350000</v>
      </c>
      <c r="F87" s="244">
        <v>350</v>
      </c>
      <c r="G87" s="177"/>
      <c r="H87" s="177"/>
      <c r="I87" s="244"/>
      <c r="J87" s="244"/>
      <c r="K87" s="177"/>
      <c r="L87" s="244"/>
      <c r="M87" s="244"/>
      <c r="N87" s="247"/>
      <c r="O87" s="244"/>
    </row>
    <row r="88" spans="1:15" ht="17.25">
      <c r="A88" s="177"/>
      <c r="B88" s="259" t="s">
        <v>933</v>
      </c>
      <c r="C88" s="177"/>
      <c r="D88" s="177">
        <v>3</v>
      </c>
      <c r="E88" s="177">
        <v>272000</v>
      </c>
      <c r="F88" s="244">
        <v>272</v>
      </c>
      <c r="G88" s="177"/>
      <c r="H88" s="177"/>
      <c r="I88" s="244"/>
      <c r="J88" s="244"/>
      <c r="K88" s="177"/>
      <c r="L88" s="244"/>
      <c r="M88" s="244"/>
      <c r="N88" s="247"/>
      <c r="O88" s="244"/>
    </row>
    <row r="89" spans="1:15" ht="17.25">
      <c r="A89" s="177"/>
      <c r="B89" s="177"/>
      <c r="C89" s="177"/>
      <c r="D89" s="177"/>
      <c r="E89" s="177"/>
      <c r="F89" s="177"/>
      <c r="G89" s="177"/>
      <c r="H89" s="177"/>
      <c r="I89" s="244"/>
      <c r="J89" s="244"/>
      <c r="K89" s="177"/>
      <c r="L89" s="244"/>
      <c r="M89" s="244"/>
      <c r="N89" s="177"/>
      <c r="O89" s="244"/>
    </row>
    <row r="90" spans="1:15" s="306" customFormat="1" ht="39.75" customHeight="1">
      <c r="A90" s="249" t="s">
        <v>153</v>
      </c>
      <c r="B90" s="250" t="s">
        <v>370</v>
      </c>
      <c r="C90" s="250">
        <v>4251</v>
      </c>
      <c r="D90" s="250">
        <v>1</v>
      </c>
      <c r="E90" s="250"/>
      <c r="F90" s="284">
        <f>F94</f>
        <v>399</v>
      </c>
      <c r="G90" s="250">
        <v>1</v>
      </c>
      <c r="H90" s="250"/>
      <c r="I90" s="285">
        <f>I94</f>
        <v>720</v>
      </c>
      <c r="J90" s="285">
        <v>1</v>
      </c>
      <c r="K90" s="250"/>
      <c r="L90" s="285">
        <f>'15ընթացիկ նորոգում'!C9</f>
        <v>720</v>
      </c>
      <c r="M90" s="285">
        <f>J90-G90</f>
        <v>0</v>
      </c>
      <c r="N90" s="285">
        <f>K90-H90</f>
        <v>0</v>
      </c>
      <c r="O90" s="285">
        <f>L90-I90</f>
        <v>0</v>
      </c>
    </row>
    <row r="91" spans="1:15" ht="17.25">
      <c r="A91" s="281"/>
      <c r="B91" s="106" t="s">
        <v>78</v>
      </c>
      <c r="C91" s="177"/>
      <c r="D91" s="177"/>
      <c r="E91" s="177"/>
      <c r="F91" s="177"/>
      <c r="G91" s="177"/>
      <c r="H91" s="177"/>
      <c r="I91" s="244"/>
      <c r="J91" s="244"/>
      <c r="K91" s="177"/>
      <c r="L91" s="177"/>
      <c r="M91" s="177"/>
      <c r="N91" s="177"/>
      <c r="O91" s="177"/>
    </row>
    <row r="92" spans="1:15" ht="34.5">
      <c r="A92" s="282"/>
      <c r="B92" s="100" t="s">
        <v>186</v>
      </c>
      <c r="C92" s="177"/>
      <c r="D92" s="177"/>
      <c r="E92" s="177"/>
      <c r="F92" s="177"/>
      <c r="G92" s="177"/>
      <c r="H92" s="177"/>
      <c r="I92" s="244"/>
      <c r="J92" s="244"/>
      <c r="K92" s="177"/>
      <c r="L92" s="177"/>
      <c r="M92" s="177"/>
      <c r="N92" s="177"/>
      <c r="O92" s="177"/>
    </row>
    <row r="93" spans="1:15" ht="17.25">
      <c r="A93" s="177"/>
      <c r="B93" s="100"/>
      <c r="C93" s="177" t="s">
        <v>1</v>
      </c>
      <c r="D93" s="177"/>
      <c r="E93" s="177"/>
      <c r="F93" s="177"/>
      <c r="G93" s="177"/>
      <c r="H93" s="177"/>
      <c r="I93" s="244"/>
      <c r="J93" s="244"/>
      <c r="K93" s="177"/>
      <c r="L93" s="244"/>
      <c r="M93" s="244"/>
      <c r="N93" s="177"/>
      <c r="O93" s="244">
        <f>L93-I93</f>
        <v>0</v>
      </c>
    </row>
    <row r="94" spans="1:15" ht="34.5">
      <c r="A94" s="177">
        <v>1</v>
      </c>
      <c r="B94" s="101" t="s">
        <v>371</v>
      </c>
      <c r="C94" s="177" t="s">
        <v>1</v>
      </c>
      <c r="D94" s="177">
        <v>1</v>
      </c>
      <c r="E94" s="256">
        <v>399000</v>
      </c>
      <c r="F94" s="280">
        <v>399</v>
      </c>
      <c r="G94" s="177">
        <v>1</v>
      </c>
      <c r="H94" s="177">
        <v>720000</v>
      </c>
      <c r="I94" s="244">
        <f>G94*H94/1000</f>
        <v>720</v>
      </c>
      <c r="J94" s="245">
        <v>1</v>
      </c>
      <c r="K94" s="177">
        <v>720000</v>
      </c>
      <c r="L94" s="244">
        <f>'15ընթացիկ նորոգում'!C9</f>
        <v>720</v>
      </c>
      <c r="M94" s="244">
        <f>J94-G94</f>
        <v>0</v>
      </c>
      <c r="N94" s="244">
        <f>K94-H94</f>
        <v>0</v>
      </c>
      <c r="O94" s="244">
        <f>L94-I94</f>
        <v>0</v>
      </c>
    </row>
    <row r="95" spans="1:15" ht="17.25">
      <c r="A95" s="177"/>
      <c r="B95" s="177"/>
      <c r="C95" s="177" t="s">
        <v>1</v>
      </c>
      <c r="D95" s="177"/>
      <c r="E95" s="177"/>
      <c r="F95" s="177"/>
      <c r="G95" s="177"/>
      <c r="H95" s="177"/>
      <c r="I95" s="244"/>
      <c r="J95" s="244"/>
      <c r="K95" s="177"/>
      <c r="L95" s="244"/>
      <c r="M95" s="244"/>
      <c r="N95" s="177"/>
      <c r="O95" s="244">
        <f>L95-I95</f>
        <v>0</v>
      </c>
    </row>
    <row r="96" spans="1:16" s="306" customFormat="1" ht="39.75" customHeight="1">
      <c r="A96" s="249" t="s">
        <v>153</v>
      </c>
      <c r="B96" s="250" t="s">
        <v>38</v>
      </c>
      <c r="C96" s="250">
        <v>4252</v>
      </c>
      <c r="D96" s="250">
        <v>2</v>
      </c>
      <c r="E96" s="250"/>
      <c r="F96" s="269">
        <f>F99+F100</f>
        <v>2585.58</v>
      </c>
      <c r="G96" s="250">
        <v>2</v>
      </c>
      <c r="H96" s="250"/>
      <c r="I96" s="285">
        <f>SUM(I99:I100)</f>
        <v>2590</v>
      </c>
      <c r="J96" s="285">
        <v>2</v>
      </c>
      <c r="K96" s="250"/>
      <c r="L96" s="285">
        <f>SUM(L99:L100)</f>
        <v>2450</v>
      </c>
      <c r="M96" s="285">
        <f>J96-G96</f>
        <v>0</v>
      </c>
      <c r="N96" s="285">
        <f>K96-H96</f>
        <v>0</v>
      </c>
      <c r="O96" s="285">
        <f>L96-I96</f>
        <v>-140</v>
      </c>
      <c r="P96" s="309"/>
    </row>
    <row r="97" spans="1:15" ht="17.25">
      <c r="A97" s="281"/>
      <c r="B97" s="106" t="s">
        <v>78</v>
      </c>
      <c r="C97" s="177"/>
      <c r="D97" s="177"/>
      <c r="E97" s="177"/>
      <c r="F97" s="177"/>
      <c r="G97" s="177"/>
      <c r="H97" s="177"/>
      <c r="I97" s="244"/>
      <c r="J97" s="244"/>
      <c r="K97" s="177"/>
      <c r="L97" s="177"/>
      <c r="M97" s="177"/>
      <c r="N97" s="177"/>
      <c r="O97" s="177"/>
    </row>
    <row r="98" spans="1:15" ht="34.5">
      <c r="A98" s="282"/>
      <c r="B98" s="100" t="s">
        <v>186</v>
      </c>
      <c r="C98" s="177"/>
      <c r="D98" s="177"/>
      <c r="E98" s="177"/>
      <c r="F98" s="177"/>
      <c r="G98" s="177"/>
      <c r="H98" s="177"/>
      <c r="I98" s="244"/>
      <c r="J98" s="244"/>
      <c r="K98" s="177"/>
      <c r="L98" s="177"/>
      <c r="M98" s="177"/>
      <c r="N98" s="177"/>
      <c r="O98" s="177"/>
    </row>
    <row r="99" spans="1:16" ht="17.25">
      <c r="A99" s="177">
        <v>1</v>
      </c>
      <c r="B99" s="177" t="s">
        <v>372</v>
      </c>
      <c r="C99" s="177" t="s">
        <v>1</v>
      </c>
      <c r="D99" s="177"/>
      <c r="E99" s="273">
        <v>2389580</v>
      </c>
      <c r="F99" s="177">
        <v>2389.58</v>
      </c>
      <c r="G99" s="177">
        <v>1</v>
      </c>
      <c r="H99" s="177">
        <v>2390000</v>
      </c>
      <c r="I99" s="244">
        <f>G99*H99/1000</f>
        <v>2390</v>
      </c>
      <c r="J99" s="244">
        <v>1</v>
      </c>
      <c r="K99" s="177">
        <v>2250000</v>
      </c>
      <c r="L99" s="244">
        <f>K99*J99/1000</f>
        <v>2250</v>
      </c>
      <c r="M99" s="244">
        <f aca="true" t="shared" si="9" ref="M99:O100">J99-G99</f>
        <v>0</v>
      </c>
      <c r="N99" s="244">
        <f t="shared" si="9"/>
        <v>-140000</v>
      </c>
      <c r="O99" s="244">
        <f t="shared" si="9"/>
        <v>-140</v>
      </c>
      <c r="P99" s="280"/>
    </row>
    <row r="100" spans="1:15" ht="51.75">
      <c r="A100" s="177">
        <v>2</v>
      </c>
      <c r="B100" s="101" t="s">
        <v>373</v>
      </c>
      <c r="C100" s="177" t="s">
        <v>1</v>
      </c>
      <c r="D100" s="177"/>
      <c r="E100" s="273">
        <v>196000</v>
      </c>
      <c r="F100" s="244">
        <v>196</v>
      </c>
      <c r="G100" s="177">
        <v>1</v>
      </c>
      <c r="H100" s="177">
        <v>200000</v>
      </c>
      <c r="I100" s="244">
        <f>G100*H100/1000</f>
        <v>200</v>
      </c>
      <c r="J100" s="244">
        <v>1</v>
      </c>
      <c r="K100" s="177">
        <v>200000</v>
      </c>
      <c r="L100" s="244">
        <f>K100*J100/1000</f>
        <v>200</v>
      </c>
      <c r="M100" s="244">
        <f t="shared" si="9"/>
        <v>0</v>
      </c>
      <c r="N100" s="244">
        <f t="shared" si="9"/>
        <v>0</v>
      </c>
      <c r="O100" s="244">
        <f t="shared" si="9"/>
        <v>0</v>
      </c>
    </row>
    <row r="101" spans="1:15" ht="17.25">
      <c r="A101" s="177"/>
      <c r="B101" s="177"/>
      <c r="C101" s="177"/>
      <c r="D101" s="177"/>
      <c r="E101" s="177"/>
      <c r="F101" s="177"/>
      <c r="G101" s="177"/>
      <c r="H101" s="177"/>
      <c r="I101" s="244"/>
      <c r="J101" s="244"/>
      <c r="K101" s="177"/>
      <c r="L101" s="244"/>
      <c r="M101" s="244"/>
      <c r="N101" s="177"/>
      <c r="O101" s="244"/>
    </row>
    <row r="102" spans="1:16" s="306" customFormat="1" ht="23.25" customHeight="1">
      <c r="A102" s="249" t="s">
        <v>153</v>
      </c>
      <c r="B102" s="249" t="s">
        <v>41</v>
      </c>
      <c r="C102" s="250">
        <v>4261</v>
      </c>
      <c r="D102" s="250">
        <f>SUM(D105:D181)</f>
        <v>5454</v>
      </c>
      <c r="E102" s="250"/>
      <c r="F102" s="284">
        <f aca="true" t="shared" si="10" ref="F102:L102">SUM(F105:F181)</f>
        <v>3648.2045000000003</v>
      </c>
      <c r="G102" s="250">
        <f>SUM(G105:G181)</f>
        <v>11418</v>
      </c>
      <c r="H102" s="284"/>
      <c r="I102" s="284">
        <f t="shared" si="10"/>
        <v>4075</v>
      </c>
      <c r="J102" s="250">
        <f>SUM(J105:J181)</f>
        <v>8439</v>
      </c>
      <c r="K102" s="284"/>
      <c r="L102" s="284">
        <f t="shared" si="10"/>
        <v>3790.5000000000005</v>
      </c>
      <c r="M102" s="285">
        <f>J102-G102</f>
        <v>-2979</v>
      </c>
      <c r="N102" s="250"/>
      <c r="O102" s="285">
        <f>L102-I102</f>
        <v>-284.49999999999955</v>
      </c>
      <c r="P102" s="309"/>
    </row>
    <row r="103" spans="1:15" ht="17.25">
      <c r="A103" s="281"/>
      <c r="B103" s="106" t="s">
        <v>78</v>
      </c>
      <c r="C103" s="177"/>
      <c r="D103" s="177"/>
      <c r="E103" s="177"/>
      <c r="F103" s="177"/>
      <c r="G103" s="177"/>
      <c r="H103" s="177"/>
      <c r="I103" s="244"/>
      <c r="J103" s="244"/>
      <c r="K103" s="177"/>
      <c r="L103" s="177"/>
      <c r="M103" s="177"/>
      <c r="N103" s="177"/>
      <c r="O103" s="177"/>
    </row>
    <row r="104" spans="1:16" ht="34.5">
      <c r="A104" s="282"/>
      <c r="B104" s="100" t="s">
        <v>186</v>
      </c>
      <c r="C104" s="177"/>
      <c r="D104" s="177"/>
      <c r="E104" s="177"/>
      <c r="F104" s="177"/>
      <c r="G104" s="177"/>
      <c r="H104" s="177"/>
      <c r="I104" s="244"/>
      <c r="J104" s="244"/>
      <c r="K104" s="177"/>
      <c r="L104" s="177"/>
      <c r="M104" s="177"/>
      <c r="N104" s="177"/>
      <c r="O104" s="177"/>
      <c r="P104" s="280"/>
    </row>
    <row r="105" spans="1:16" ht="17.25">
      <c r="A105" s="177">
        <v>1</v>
      </c>
      <c r="B105" s="108" t="s">
        <v>375</v>
      </c>
      <c r="C105" s="177" t="s">
        <v>1</v>
      </c>
      <c r="D105" s="177"/>
      <c r="E105" s="177"/>
      <c r="F105" s="177">
        <f aca="true" t="shared" si="11" ref="F105:F110">(D105*E105)/1000</f>
        <v>0</v>
      </c>
      <c r="G105" s="177"/>
      <c r="H105" s="177"/>
      <c r="I105" s="244"/>
      <c r="J105" s="244">
        <v>4</v>
      </c>
      <c r="K105" s="177">
        <v>30000</v>
      </c>
      <c r="L105" s="244">
        <f>J105*K105/1000</f>
        <v>120</v>
      </c>
      <c r="M105" s="244">
        <f>J105-G105</f>
        <v>4</v>
      </c>
      <c r="N105" s="244">
        <f>K105-H105</f>
        <v>30000</v>
      </c>
      <c r="O105" s="244">
        <f>L105-I105</f>
        <v>120</v>
      </c>
      <c r="P105" s="280"/>
    </row>
    <row r="106" spans="1:16" ht="17.25">
      <c r="A106" s="177">
        <v>2</v>
      </c>
      <c r="B106" s="108" t="s">
        <v>375</v>
      </c>
      <c r="C106" s="177" t="s">
        <v>1</v>
      </c>
      <c r="D106" s="177">
        <v>5</v>
      </c>
      <c r="E106" s="177">
        <v>32100</v>
      </c>
      <c r="F106" s="177">
        <f t="shared" si="11"/>
        <v>160.5</v>
      </c>
      <c r="G106" s="177">
        <v>0</v>
      </c>
      <c r="H106" s="177">
        <v>0</v>
      </c>
      <c r="I106" s="244">
        <f aca="true" t="shared" si="12" ref="I106:I170">G106*H106/1000</f>
        <v>0</v>
      </c>
      <c r="J106" s="244"/>
      <c r="K106" s="177"/>
      <c r="L106" s="244">
        <f>J106*K106/1000</f>
        <v>0</v>
      </c>
      <c r="M106" s="244">
        <f>J106-G106</f>
        <v>0</v>
      </c>
      <c r="N106" s="244">
        <f aca="true" t="shared" si="13" ref="N106:N169">K106-H106</f>
        <v>0</v>
      </c>
      <c r="O106" s="244">
        <f>L106-I106</f>
        <v>0</v>
      </c>
      <c r="P106" s="280"/>
    </row>
    <row r="107" spans="1:16" ht="17.25">
      <c r="A107" s="177">
        <v>3</v>
      </c>
      <c r="B107" s="108" t="s">
        <v>375</v>
      </c>
      <c r="C107" s="177" t="s">
        <v>1</v>
      </c>
      <c r="D107" s="177"/>
      <c r="E107" s="177"/>
      <c r="F107" s="177">
        <f t="shared" si="11"/>
        <v>0</v>
      </c>
      <c r="G107" s="177">
        <v>0</v>
      </c>
      <c r="H107" s="177">
        <v>0</v>
      </c>
      <c r="I107" s="244">
        <f t="shared" si="12"/>
        <v>0</v>
      </c>
      <c r="J107" s="244"/>
      <c r="K107" s="177"/>
      <c r="L107" s="244">
        <f aca="true" t="shared" si="14" ref="L107:L170">J107*K107/1000</f>
        <v>0</v>
      </c>
      <c r="M107" s="244">
        <f>J107-G107</f>
        <v>0</v>
      </c>
      <c r="N107" s="244">
        <f t="shared" si="13"/>
        <v>0</v>
      </c>
      <c r="O107" s="244">
        <f>L107-I107</f>
        <v>0</v>
      </c>
      <c r="P107" s="280"/>
    </row>
    <row r="108" spans="1:16" ht="17.25">
      <c r="A108" s="177">
        <v>4</v>
      </c>
      <c r="B108" s="108" t="s">
        <v>375</v>
      </c>
      <c r="C108" s="177" t="s">
        <v>1</v>
      </c>
      <c r="D108" s="177"/>
      <c r="E108" s="177"/>
      <c r="F108" s="177">
        <f t="shared" si="11"/>
        <v>0</v>
      </c>
      <c r="G108" s="177">
        <v>4</v>
      </c>
      <c r="H108" s="177">
        <v>32500</v>
      </c>
      <c r="I108" s="244">
        <f t="shared" si="12"/>
        <v>130</v>
      </c>
      <c r="J108" s="244">
        <v>8</v>
      </c>
      <c r="K108" s="177">
        <v>32000</v>
      </c>
      <c r="L108" s="244">
        <f t="shared" si="14"/>
        <v>256</v>
      </c>
      <c r="M108" s="244">
        <f aca="true" t="shared" si="15" ref="M108:M171">J108-G108</f>
        <v>4</v>
      </c>
      <c r="N108" s="244">
        <f t="shared" si="13"/>
        <v>-500</v>
      </c>
      <c r="O108" s="244">
        <f aca="true" t="shared" si="16" ref="O108:O171">L108-I108</f>
        <v>126</v>
      </c>
      <c r="P108" s="280"/>
    </row>
    <row r="109" spans="1:15" ht="17.25">
      <c r="A109" s="177">
        <v>5</v>
      </c>
      <c r="B109" s="108" t="s">
        <v>375</v>
      </c>
      <c r="C109" s="177" t="s">
        <v>1</v>
      </c>
      <c r="D109" s="177">
        <v>30</v>
      </c>
      <c r="E109" s="177">
        <v>6237</v>
      </c>
      <c r="F109" s="270">
        <f t="shared" si="11"/>
        <v>187.11</v>
      </c>
      <c r="G109" s="177">
        <v>40</v>
      </c>
      <c r="H109" s="177">
        <v>8000</v>
      </c>
      <c r="I109" s="244">
        <f t="shared" si="12"/>
        <v>320</v>
      </c>
      <c r="J109" s="244"/>
      <c r="K109" s="177"/>
      <c r="L109" s="244">
        <f t="shared" si="14"/>
        <v>0</v>
      </c>
      <c r="M109" s="244">
        <f t="shared" si="15"/>
        <v>-40</v>
      </c>
      <c r="N109" s="244">
        <f t="shared" si="13"/>
        <v>-8000</v>
      </c>
      <c r="O109" s="244">
        <f t="shared" si="16"/>
        <v>-320</v>
      </c>
    </row>
    <row r="110" spans="1:15" ht="17.25">
      <c r="A110" s="177">
        <v>6</v>
      </c>
      <c r="B110" s="108" t="s">
        <v>375</v>
      </c>
      <c r="C110" s="177" t="s">
        <v>1</v>
      </c>
      <c r="D110" s="177">
        <v>15</v>
      </c>
      <c r="E110" s="177">
        <v>8613</v>
      </c>
      <c r="F110" s="270">
        <f t="shared" si="11"/>
        <v>129.195</v>
      </c>
      <c r="G110" s="177">
        <v>30</v>
      </c>
      <c r="H110" s="177">
        <v>6500</v>
      </c>
      <c r="I110" s="244">
        <f t="shared" si="12"/>
        <v>195</v>
      </c>
      <c r="J110" s="244">
        <v>20</v>
      </c>
      <c r="K110" s="177">
        <v>6500</v>
      </c>
      <c r="L110" s="244">
        <f t="shared" si="14"/>
        <v>130</v>
      </c>
      <c r="M110" s="244">
        <f t="shared" si="15"/>
        <v>-10</v>
      </c>
      <c r="N110" s="244">
        <f t="shared" si="13"/>
        <v>0</v>
      </c>
      <c r="O110" s="244">
        <f t="shared" si="16"/>
        <v>-65</v>
      </c>
    </row>
    <row r="111" spans="1:15" ht="17.25">
      <c r="A111" s="177"/>
      <c r="B111" s="108" t="s">
        <v>375</v>
      </c>
      <c r="C111" s="177"/>
      <c r="D111" s="177"/>
      <c r="E111" s="177"/>
      <c r="F111" s="270"/>
      <c r="G111" s="177"/>
      <c r="H111" s="177"/>
      <c r="I111" s="244"/>
      <c r="J111" s="244">
        <v>15</v>
      </c>
      <c r="K111" s="177">
        <v>8500</v>
      </c>
      <c r="L111" s="244">
        <f t="shared" si="14"/>
        <v>127.5</v>
      </c>
      <c r="M111" s="244"/>
      <c r="N111" s="244">
        <f t="shared" si="13"/>
        <v>8500</v>
      </c>
      <c r="O111" s="244"/>
    </row>
    <row r="112" spans="1:15" ht="17.25">
      <c r="A112" s="177">
        <v>7</v>
      </c>
      <c r="B112" s="108" t="s">
        <v>924</v>
      </c>
      <c r="C112" s="177" t="s">
        <v>1</v>
      </c>
      <c r="D112" s="177"/>
      <c r="E112" s="177"/>
      <c r="F112" s="177">
        <f aca="true" t="shared" si="17" ref="F112:F144">(D112*E112)/1000</f>
        <v>0</v>
      </c>
      <c r="G112" s="177">
        <v>10</v>
      </c>
      <c r="H112" s="177">
        <v>2000</v>
      </c>
      <c r="I112" s="244">
        <f t="shared" si="12"/>
        <v>20</v>
      </c>
      <c r="J112" s="244"/>
      <c r="K112" s="177"/>
      <c r="L112" s="244">
        <f t="shared" si="14"/>
        <v>0</v>
      </c>
      <c r="M112" s="244">
        <f t="shared" si="15"/>
        <v>-10</v>
      </c>
      <c r="N112" s="244">
        <f t="shared" si="13"/>
        <v>-2000</v>
      </c>
      <c r="O112" s="244">
        <f t="shared" si="16"/>
        <v>-20</v>
      </c>
    </row>
    <row r="113" spans="1:15" ht="45" customHeight="1">
      <c r="A113" s="177">
        <v>8</v>
      </c>
      <c r="B113" s="108" t="s">
        <v>410</v>
      </c>
      <c r="C113" s="177" t="s">
        <v>1</v>
      </c>
      <c r="D113" s="177">
        <v>200</v>
      </c>
      <c r="E113" s="177">
        <v>50</v>
      </c>
      <c r="F113" s="244">
        <f t="shared" si="17"/>
        <v>10</v>
      </c>
      <c r="G113" s="177">
        <v>200</v>
      </c>
      <c r="H113" s="177">
        <v>100</v>
      </c>
      <c r="I113" s="244">
        <f t="shared" si="12"/>
        <v>20</v>
      </c>
      <c r="J113" s="244"/>
      <c r="K113" s="177"/>
      <c r="L113" s="244"/>
      <c r="M113" s="244">
        <f t="shared" si="15"/>
        <v>-200</v>
      </c>
      <c r="N113" s="244">
        <f t="shared" si="13"/>
        <v>-100</v>
      </c>
      <c r="O113" s="244"/>
    </row>
    <row r="114" spans="1:15" ht="17.25">
      <c r="A114" s="177">
        <v>9</v>
      </c>
      <c r="B114" s="108" t="s">
        <v>376</v>
      </c>
      <c r="C114" s="177" t="s">
        <v>1</v>
      </c>
      <c r="D114" s="177"/>
      <c r="E114" s="177"/>
      <c r="F114" s="177">
        <f t="shared" si="17"/>
        <v>0</v>
      </c>
      <c r="G114" s="177"/>
      <c r="H114" s="177"/>
      <c r="I114" s="244">
        <f t="shared" si="12"/>
        <v>0</v>
      </c>
      <c r="J114" s="244"/>
      <c r="K114" s="177"/>
      <c r="L114" s="244">
        <f t="shared" si="14"/>
        <v>0</v>
      </c>
      <c r="M114" s="244">
        <f t="shared" si="15"/>
        <v>0</v>
      </c>
      <c r="N114" s="244">
        <f t="shared" si="13"/>
        <v>0</v>
      </c>
      <c r="O114" s="244">
        <f t="shared" si="16"/>
        <v>0</v>
      </c>
    </row>
    <row r="115" spans="1:15" ht="17.25">
      <c r="A115" s="177">
        <v>10</v>
      </c>
      <c r="B115" s="108" t="s">
        <v>377</v>
      </c>
      <c r="C115" s="177" t="s">
        <v>1</v>
      </c>
      <c r="D115" s="177">
        <v>13</v>
      </c>
      <c r="E115" s="177">
        <v>24000</v>
      </c>
      <c r="F115" s="244">
        <f t="shared" si="17"/>
        <v>312</v>
      </c>
      <c r="G115" s="177">
        <v>0</v>
      </c>
      <c r="H115" s="177">
        <v>0</v>
      </c>
      <c r="I115" s="244">
        <f t="shared" si="12"/>
        <v>0</v>
      </c>
      <c r="J115" s="244">
        <v>6</v>
      </c>
      <c r="K115" s="177">
        <v>25000</v>
      </c>
      <c r="L115" s="244">
        <f t="shared" si="14"/>
        <v>150</v>
      </c>
      <c r="M115" s="244">
        <f t="shared" si="15"/>
        <v>6</v>
      </c>
      <c r="N115" s="244">
        <f t="shared" si="13"/>
        <v>25000</v>
      </c>
      <c r="O115" s="244">
        <f t="shared" si="16"/>
        <v>150</v>
      </c>
    </row>
    <row r="116" spans="1:15" ht="17.25">
      <c r="A116" s="177">
        <v>11</v>
      </c>
      <c r="B116" s="108" t="s">
        <v>378</v>
      </c>
      <c r="C116" s="177" t="s">
        <v>1</v>
      </c>
      <c r="D116" s="177">
        <v>6</v>
      </c>
      <c r="E116" s="177">
        <v>10000</v>
      </c>
      <c r="F116" s="244">
        <f t="shared" si="17"/>
        <v>60</v>
      </c>
      <c r="G116" s="177"/>
      <c r="H116" s="177"/>
      <c r="I116" s="244">
        <f t="shared" si="12"/>
        <v>0</v>
      </c>
      <c r="J116" s="244"/>
      <c r="K116" s="177"/>
      <c r="L116" s="244">
        <f t="shared" si="14"/>
        <v>0</v>
      </c>
      <c r="M116" s="244">
        <f t="shared" si="15"/>
        <v>0</v>
      </c>
      <c r="N116" s="244">
        <f t="shared" si="13"/>
        <v>0</v>
      </c>
      <c r="O116" s="244">
        <f t="shared" si="16"/>
        <v>0</v>
      </c>
    </row>
    <row r="117" spans="1:15" ht="17.25">
      <c r="A117" s="177">
        <v>12</v>
      </c>
      <c r="B117" s="108" t="s">
        <v>817</v>
      </c>
      <c r="C117" s="177" t="s">
        <v>1</v>
      </c>
      <c r="D117" s="177">
        <v>4</v>
      </c>
      <c r="E117" s="177">
        <v>22000</v>
      </c>
      <c r="F117" s="244">
        <f t="shared" si="17"/>
        <v>88</v>
      </c>
      <c r="G117" s="177">
        <v>2</v>
      </c>
      <c r="H117" s="177">
        <v>24350</v>
      </c>
      <c r="I117" s="244">
        <f t="shared" si="12"/>
        <v>48.7</v>
      </c>
      <c r="J117" s="244"/>
      <c r="K117" s="177"/>
      <c r="L117" s="244">
        <f t="shared" si="14"/>
        <v>0</v>
      </c>
      <c r="M117" s="244">
        <f t="shared" si="15"/>
        <v>-2</v>
      </c>
      <c r="N117" s="244">
        <f t="shared" si="13"/>
        <v>-24350</v>
      </c>
      <c r="O117" s="244">
        <f t="shared" si="16"/>
        <v>-48.7</v>
      </c>
    </row>
    <row r="118" spans="1:15" ht="17.25">
      <c r="A118" s="177">
        <v>13</v>
      </c>
      <c r="B118" s="108" t="s">
        <v>817</v>
      </c>
      <c r="C118" s="177" t="s">
        <v>1</v>
      </c>
      <c r="D118" s="177">
        <v>4</v>
      </c>
      <c r="E118" s="177">
        <v>7000</v>
      </c>
      <c r="F118" s="244">
        <f t="shared" si="17"/>
        <v>28</v>
      </c>
      <c r="G118" s="177">
        <v>4</v>
      </c>
      <c r="H118" s="177">
        <v>7000</v>
      </c>
      <c r="I118" s="244">
        <f t="shared" si="12"/>
        <v>28</v>
      </c>
      <c r="J118" s="244">
        <v>4</v>
      </c>
      <c r="K118" s="177">
        <v>7000</v>
      </c>
      <c r="L118" s="244">
        <f t="shared" si="14"/>
        <v>28</v>
      </c>
      <c r="M118" s="244"/>
      <c r="N118" s="244">
        <f t="shared" si="13"/>
        <v>0</v>
      </c>
      <c r="O118" s="244">
        <f t="shared" si="16"/>
        <v>0</v>
      </c>
    </row>
    <row r="119" spans="1:15" ht="17.25">
      <c r="A119" s="177">
        <v>15</v>
      </c>
      <c r="B119" s="108" t="s">
        <v>379</v>
      </c>
      <c r="C119" s="177" t="s">
        <v>1</v>
      </c>
      <c r="D119" s="177">
        <v>11</v>
      </c>
      <c r="E119" s="177">
        <v>24416.66</v>
      </c>
      <c r="F119" s="268">
        <f t="shared" si="17"/>
        <v>268.58326</v>
      </c>
      <c r="G119" s="177">
        <v>25</v>
      </c>
      <c r="H119" s="177">
        <v>24000</v>
      </c>
      <c r="I119" s="244">
        <f t="shared" si="12"/>
        <v>600</v>
      </c>
      <c r="J119" s="244">
        <v>10</v>
      </c>
      <c r="K119" s="177">
        <v>25000</v>
      </c>
      <c r="L119" s="244">
        <f t="shared" si="14"/>
        <v>250</v>
      </c>
      <c r="M119" s="244">
        <f t="shared" si="15"/>
        <v>-15</v>
      </c>
      <c r="N119" s="244">
        <f t="shared" si="13"/>
        <v>1000</v>
      </c>
      <c r="O119" s="244">
        <f t="shared" si="16"/>
        <v>-350</v>
      </c>
    </row>
    <row r="120" spans="1:15" ht="17.25">
      <c r="A120" s="177">
        <v>16</v>
      </c>
      <c r="B120" s="108" t="s">
        <v>379</v>
      </c>
      <c r="C120" s="177" t="s">
        <v>1</v>
      </c>
      <c r="D120" s="177">
        <v>1</v>
      </c>
      <c r="E120" s="177">
        <v>24216.24</v>
      </c>
      <c r="F120" s="271">
        <f t="shared" si="17"/>
        <v>24.216240000000003</v>
      </c>
      <c r="G120" s="177">
        <v>0</v>
      </c>
      <c r="H120" s="177">
        <v>0</v>
      </c>
      <c r="I120" s="244">
        <f t="shared" si="12"/>
        <v>0</v>
      </c>
      <c r="J120" s="244"/>
      <c r="K120" s="177"/>
      <c r="L120" s="244"/>
      <c r="M120" s="244"/>
      <c r="N120" s="244">
        <f t="shared" si="13"/>
        <v>0</v>
      </c>
      <c r="O120" s="244"/>
    </row>
    <row r="121" spans="1:15" ht="34.5">
      <c r="A121" s="177">
        <v>17</v>
      </c>
      <c r="B121" s="108" t="s">
        <v>818</v>
      </c>
      <c r="C121" s="177" t="s">
        <v>1</v>
      </c>
      <c r="D121" s="177">
        <v>10</v>
      </c>
      <c r="E121" s="177">
        <v>32000</v>
      </c>
      <c r="F121" s="244">
        <f t="shared" si="17"/>
        <v>320</v>
      </c>
      <c r="G121" s="177">
        <v>15</v>
      </c>
      <c r="H121" s="177">
        <v>0</v>
      </c>
      <c r="I121" s="244">
        <f t="shared" si="12"/>
        <v>0</v>
      </c>
      <c r="J121" s="244"/>
      <c r="K121" s="177"/>
      <c r="L121" s="244">
        <f t="shared" si="14"/>
        <v>0</v>
      </c>
      <c r="M121" s="244">
        <f t="shared" si="15"/>
        <v>-15</v>
      </c>
      <c r="N121" s="244">
        <f t="shared" si="13"/>
        <v>0</v>
      </c>
      <c r="O121" s="244">
        <f t="shared" si="16"/>
        <v>0</v>
      </c>
    </row>
    <row r="122" spans="1:15" ht="17.25">
      <c r="A122" s="177">
        <v>18</v>
      </c>
      <c r="B122" s="108" t="s">
        <v>380</v>
      </c>
      <c r="C122" s="177" t="s">
        <v>1</v>
      </c>
      <c r="D122" s="177"/>
      <c r="E122" s="177"/>
      <c r="F122" s="177">
        <f t="shared" si="17"/>
        <v>0</v>
      </c>
      <c r="G122" s="177">
        <v>30</v>
      </c>
      <c r="H122" s="177">
        <v>900</v>
      </c>
      <c r="I122" s="244">
        <f t="shared" si="12"/>
        <v>27</v>
      </c>
      <c r="J122" s="244">
        <v>30</v>
      </c>
      <c r="K122" s="177">
        <v>900</v>
      </c>
      <c r="L122" s="244">
        <f t="shared" si="14"/>
        <v>27</v>
      </c>
      <c r="M122" s="244">
        <f t="shared" si="15"/>
        <v>0</v>
      </c>
      <c r="N122" s="244">
        <f t="shared" si="13"/>
        <v>0</v>
      </c>
      <c r="O122" s="244">
        <f t="shared" si="16"/>
        <v>0</v>
      </c>
    </row>
    <row r="123" spans="1:15" ht="17.25">
      <c r="A123" s="177">
        <v>19</v>
      </c>
      <c r="B123" s="108" t="s">
        <v>381</v>
      </c>
      <c r="C123" s="177" t="s">
        <v>1</v>
      </c>
      <c r="D123" s="177">
        <v>30</v>
      </c>
      <c r="E123" s="177">
        <v>1000</v>
      </c>
      <c r="F123" s="177">
        <f t="shared" si="17"/>
        <v>30</v>
      </c>
      <c r="G123" s="177">
        <v>30</v>
      </c>
      <c r="H123" s="177">
        <v>1000</v>
      </c>
      <c r="I123" s="244">
        <f t="shared" si="12"/>
        <v>30</v>
      </c>
      <c r="J123" s="244">
        <v>30</v>
      </c>
      <c r="K123" s="177">
        <v>1000</v>
      </c>
      <c r="L123" s="244">
        <f t="shared" si="14"/>
        <v>30</v>
      </c>
      <c r="M123" s="244">
        <f t="shared" si="15"/>
        <v>0</v>
      </c>
      <c r="N123" s="244">
        <f t="shared" si="13"/>
        <v>0</v>
      </c>
      <c r="O123" s="244">
        <f t="shared" si="16"/>
        <v>0</v>
      </c>
    </row>
    <row r="124" spans="1:15" ht="17.25">
      <c r="A124" s="177">
        <v>20</v>
      </c>
      <c r="B124" s="274" t="s">
        <v>382</v>
      </c>
      <c r="C124" s="177" t="s">
        <v>1</v>
      </c>
      <c r="D124" s="177"/>
      <c r="E124" s="177"/>
      <c r="F124" s="177">
        <f t="shared" si="17"/>
        <v>0</v>
      </c>
      <c r="G124" s="177">
        <v>10</v>
      </c>
      <c r="H124" s="177">
        <v>5000</v>
      </c>
      <c r="I124" s="244">
        <f t="shared" si="12"/>
        <v>50</v>
      </c>
      <c r="J124" s="244">
        <v>15</v>
      </c>
      <c r="K124" s="177">
        <v>6000</v>
      </c>
      <c r="L124" s="244">
        <f t="shared" si="14"/>
        <v>90</v>
      </c>
      <c r="M124" s="244">
        <f t="shared" si="15"/>
        <v>5</v>
      </c>
      <c r="N124" s="244">
        <f t="shared" si="13"/>
        <v>1000</v>
      </c>
      <c r="O124" s="244">
        <f t="shared" si="16"/>
        <v>40</v>
      </c>
    </row>
    <row r="125" spans="1:15" ht="17.25">
      <c r="A125" s="177">
        <v>21</v>
      </c>
      <c r="B125" s="274" t="s">
        <v>383</v>
      </c>
      <c r="C125" s="177" t="s">
        <v>1</v>
      </c>
      <c r="D125" s="177">
        <v>10</v>
      </c>
      <c r="E125" s="177">
        <v>6000</v>
      </c>
      <c r="F125" s="244">
        <f t="shared" si="17"/>
        <v>60</v>
      </c>
      <c r="G125" s="177">
        <v>10</v>
      </c>
      <c r="H125" s="177">
        <v>6000</v>
      </c>
      <c r="I125" s="244">
        <f t="shared" si="12"/>
        <v>60</v>
      </c>
      <c r="J125" s="244">
        <v>15</v>
      </c>
      <c r="K125" s="177">
        <v>6000</v>
      </c>
      <c r="L125" s="244">
        <f t="shared" si="14"/>
        <v>90</v>
      </c>
      <c r="M125" s="244">
        <f t="shared" si="15"/>
        <v>5</v>
      </c>
      <c r="N125" s="244">
        <f t="shared" si="13"/>
        <v>0</v>
      </c>
      <c r="O125" s="244">
        <f t="shared" si="16"/>
        <v>30</v>
      </c>
    </row>
    <row r="126" spans="1:15" ht="17.25">
      <c r="A126" s="177">
        <v>22</v>
      </c>
      <c r="B126" s="274" t="s">
        <v>384</v>
      </c>
      <c r="C126" s="177" t="s">
        <v>1</v>
      </c>
      <c r="D126" s="177">
        <v>5</v>
      </c>
      <c r="E126" s="177">
        <v>27600</v>
      </c>
      <c r="F126" s="244">
        <f t="shared" si="17"/>
        <v>138</v>
      </c>
      <c r="G126" s="177">
        <v>5</v>
      </c>
      <c r="H126" s="177">
        <v>25000</v>
      </c>
      <c r="I126" s="244">
        <f t="shared" si="12"/>
        <v>125</v>
      </c>
      <c r="J126" s="244">
        <v>10</v>
      </c>
      <c r="K126" s="177">
        <v>26000</v>
      </c>
      <c r="L126" s="244">
        <f t="shared" si="14"/>
        <v>260</v>
      </c>
      <c r="M126" s="244">
        <f t="shared" si="15"/>
        <v>5</v>
      </c>
      <c r="N126" s="244">
        <f t="shared" si="13"/>
        <v>1000</v>
      </c>
      <c r="O126" s="244">
        <f t="shared" si="16"/>
        <v>135</v>
      </c>
    </row>
    <row r="127" spans="1:15" ht="17.25">
      <c r="A127" s="177">
        <v>23</v>
      </c>
      <c r="B127" s="275" t="s">
        <v>385</v>
      </c>
      <c r="C127" s="177" t="s">
        <v>1</v>
      </c>
      <c r="D127" s="177"/>
      <c r="E127" s="177"/>
      <c r="F127" s="177">
        <f t="shared" si="17"/>
        <v>0</v>
      </c>
      <c r="G127" s="177">
        <v>0</v>
      </c>
      <c r="H127" s="177">
        <v>0</v>
      </c>
      <c r="I127" s="244">
        <f t="shared" si="12"/>
        <v>0</v>
      </c>
      <c r="J127" s="244">
        <v>15</v>
      </c>
      <c r="K127" s="177">
        <v>1600</v>
      </c>
      <c r="L127" s="244">
        <f t="shared" si="14"/>
        <v>24</v>
      </c>
      <c r="M127" s="244">
        <f t="shared" si="15"/>
        <v>15</v>
      </c>
      <c r="N127" s="244">
        <f t="shared" si="13"/>
        <v>1600</v>
      </c>
      <c r="O127" s="244">
        <f t="shared" si="16"/>
        <v>24</v>
      </c>
    </row>
    <row r="128" spans="1:15" s="313" customFormat="1" ht="17.25">
      <c r="A128" s="177">
        <v>24</v>
      </c>
      <c r="B128" s="276" t="s">
        <v>386</v>
      </c>
      <c r="C128" s="177" t="s">
        <v>1</v>
      </c>
      <c r="D128" s="277">
        <v>15</v>
      </c>
      <c r="E128" s="277">
        <v>1000</v>
      </c>
      <c r="F128" s="244">
        <f t="shared" si="17"/>
        <v>15</v>
      </c>
      <c r="G128" s="277">
        <v>15</v>
      </c>
      <c r="H128" s="277">
        <v>1000</v>
      </c>
      <c r="I128" s="278">
        <f t="shared" si="12"/>
        <v>15</v>
      </c>
      <c r="J128" s="278">
        <v>10</v>
      </c>
      <c r="K128" s="277">
        <v>1600</v>
      </c>
      <c r="L128" s="278">
        <f t="shared" si="14"/>
        <v>16</v>
      </c>
      <c r="M128" s="278">
        <f t="shared" si="15"/>
        <v>-5</v>
      </c>
      <c r="N128" s="244">
        <f t="shared" si="13"/>
        <v>600</v>
      </c>
      <c r="O128" s="278">
        <f t="shared" si="16"/>
        <v>1</v>
      </c>
    </row>
    <row r="129" spans="1:15" ht="17.25">
      <c r="A129" s="177">
        <v>25</v>
      </c>
      <c r="B129" s="279" t="s">
        <v>958</v>
      </c>
      <c r="C129" s="177" t="s">
        <v>1</v>
      </c>
      <c r="D129" s="177"/>
      <c r="E129" s="177"/>
      <c r="F129" s="177">
        <f t="shared" si="17"/>
        <v>0</v>
      </c>
      <c r="G129" s="177">
        <v>0</v>
      </c>
      <c r="H129" s="177">
        <v>0</v>
      </c>
      <c r="I129" s="244">
        <f t="shared" si="12"/>
        <v>0</v>
      </c>
      <c r="J129" s="244">
        <v>100</v>
      </c>
      <c r="K129" s="177">
        <v>200</v>
      </c>
      <c r="L129" s="244">
        <f t="shared" si="14"/>
        <v>20</v>
      </c>
      <c r="M129" s="244">
        <f t="shared" si="15"/>
        <v>100</v>
      </c>
      <c r="N129" s="244">
        <f t="shared" si="13"/>
        <v>200</v>
      </c>
      <c r="O129" s="244">
        <f t="shared" si="16"/>
        <v>20</v>
      </c>
    </row>
    <row r="130" spans="1:16" ht="17.25">
      <c r="A130" s="177">
        <v>26</v>
      </c>
      <c r="B130" s="279" t="s">
        <v>387</v>
      </c>
      <c r="C130" s="177" t="s">
        <v>1</v>
      </c>
      <c r="D130" s="177"/>
      <c r="E130" s="177"/>
      <c r="F130" s="177">
        <f t="shared" si="17"/>
        <v>0</v>
      </c>
      <c r="G130" s="177">
        <v>50</v>
      </c>
      <c r="H130" s="177">
        <v>100</v>
      </c>
      <c r="I130" s="244">
        <f t="shared" si="12"/>
        <v>5</v>
      </c>
      <c r="J130" s="244">
        <v>30</v>
      </c>
      <c r="K130" s="177">
        <v>110</v>
      </c>
      <c r="L130" s="244">
        <f t="shared" si="14"/>
        <v>3.3</v>
      </c>
      <c r="M130" s="244">
        <f t="shared" si="15"/>
        <v>-20</v>
      </c>
      <c r="N130" s="244">
        <f t="shared" si="13"/>
        <v>10</v>
      </c>
      <c r="O130" s="244">
        <f t="shared" si="16"/>
        <v>-1.7000000000000002</v>
      </c>
      <c r="P130" s="280"/>
    </row>
    <row r="131" spans="1:15" ht="17.25">
      <c r="A131" s="177">
        <v>27</v>
      </c>
      <c r="B131" s="108" t="s">
        <v>388</v>
      </c>
      <c r="C131" s="177" t="s">
        <v>1</v>
      </c>
      <c r="D131" s="177">
        <v>60</v>
      </c>
      <c r="E131" s="177">
        <v>200</v>
      </c>
      <c r="F131" s="244">
        <f t="shared" si="17"/>
        <v>12</v>
      </c>
      <c r="G131" s="177">
        <v>100</v>
      </c>
      <c r="H131" s="177">
        <v>250</v>
      </c>
      <c r="I131" s="244">
        <f t="shared" si="12"/>
        <v>25</v>
      </c>
      <c r="J131" s="244">
        <v>100</v>
      </c>
      <c r="K131" s="177">
        <v>250</v>
      </c>
      <c r="L131" s="244">
        <f t="shared" si="14"/>
        <v>25</v>
      </c>
      <c r="M131" s="244">
        <f t="shared" si="15"/>
        <v>0</v>
      </c>
      <c r="N131" s="244">
        <f t="shared" si="13"/>
        <v>0</v>
      </c>
      <c r="O131" s="244">
        <f t="shared" si="16"/>
        <v>0</v>
      </c>
    </row>
    <row r="132" spans="1:15" ht="17.25">
      <c r="A132" s="177">
        <v>28</v>
      </c>
      <c r="B132" s="108" t="s">
        <v>389</v>
      </c>
      <c r="C132" s="177" t="s">
        <v>1</v>
      </c>
      <c r="D132" s="177">
        <v>12</v>
      </c>
      <c r="E132" s="177">
        <v>200</v>
      </c>
      <c r="F132" s="268">
        <f t="shared" si="17"/>
        <v>2.4</v>
      </c>
      <c r="G132" s="177">
        <v>30</v>
      </c>
      <c r="H132" s="177">
        <v>250</v>
      </c>
      <c r="I132" s="244">
        <f t="shared" si="12"/>
        <v>7.5</v>
      </c>
      <c r="J132" s="244">
        <v>12</v>
      </c>
      <c r="K132" s="177">
        <v>200</v>
      </c>
      <c r="L132" s="244">
        <f t="shared" si="14"/>
        <v>2.4</v>
      </c>
      <c r="M132" s="244">
        <f t="shared" si="15"/>
        <v>-18</v>
      </c>
      <c r="N132" s="244">
        <f t="shared" si="13"/>
        <v>-50</v>
      </c>
      <c r="O132" s="244">
        <f t="shared" si="16"/>
        <v>-5.1</v>
      </c>
    </row>
    <row r="133" spans="1:15" ht="17.25">
      <c r="A133" s="177">
        <v>29</v>
      </c>
      <c r="B133" s="108" t="s">
        <v>390</v>
      </c>
      <c r="C133" s="177" t="s">
        <v>1</v>
      </c>
      <c r="D133" s="177">
        <v>400</v>
      </c>
      <c r="E133" s="177">
        <v>80</v>
      </c>
      <c r="F133" s="244">
        <f t="shared" si="17"/>
        <v>32</v>
      </c>
      <c r="G133" s="177">
        <v>400</v>
      </c>
      <c r="H133" s="177">
        <v>100</v>
      </c>
      <c r="I133" s="244">
        <f t="shared" si="12"/>
        <v>40</v>
      </c>
      <c r="J133" s="244">
        <v>400</v>
      </c>
      <c r="K133" s="177">
        <v>80</v>
      </c>
      <c r="L133" s="244">
        <f t="shared" si="14"/>
        <v>32</v>
      </c>
      <c r="M133" s="244">
        <f t="shared" si="15"/>
        <v>0</v>
      </c>
      <c r="N133" s="244">
        <f t="shared" si="13"/>
        <v>-20</v>
      </c>
      <c r="O133" s="244">
        <f t="shared" si="16"/>
        <v>-8</v>
      </c>
    </row>
    <row r="134" spans="1:15" ht="17.25">
      <c r="A134" s="177">
        <v>30</v>
      </c>
      <c r="B134" s="108" t="s">
        <v>391</v>
      </c>
      <c r="C134" s="177" t="s">
        <v>1</v>
      </c>
      <c r="D134" s="177"/>
      <c r="E134" s="177"/>
      <c r="F134" s="177">
        <f t="shared" si="17"/>
        <v>0</v>
      </c>
      <c r="G134" s="177">
        <v>80</v>
      </c>
      <c r="H134" s="177">
        <v>60</v>
      </c>
      <c r="I134" s="244">
        <f t="shared" si="12"/>
        <v>4.8</v>
      </c>
      <c r="J134" s="244">
        <v>100</v>
      </c>
      <c r="K134" s="177">
        <v>50</v>
      </c>
      <c r="L134" s="244">
        <f t="shared" si="14"/>
        <v>5</v>
      </c>
      <c r="M134" s="244">
        <f t="shared" si="15"/>
        <v>20</v>
      </c>
      <c r="N134" s="244">
        <f t="shared" si="13"/>
        <v>-10</v>
      </c>
      <c r="O134" s="244">
        <f t="shared" si="16"/>
        <v>0.20000000000000018</v>
      </c>
    </row>
    <row r="135" spans="1:15" ht="17.25">
      <c r="A135" s="177">
        <v>31</v>
      </c>
      <c r="B135" s="108" t="s">
        <v>392</v>
      </c>
      <c r="C135" s="177" t="s">
        <v>1</v>
      </c>
      <c r="D135" s="177"/>
      <c r="E135" s="177"/>
      <c r="F135" s="177">
        <f t="shared" si="17"/>
        <v>0</v>
      </c>
      <c r="G135" s="177">
        <v>50</v>
      </c>
      <c r="H135" s="177">
        <v>180</v>
      </c>
      <c r="I135" s="244">
        <f t="shared" si="12"/>
        <v>9</v>
      </c>
      <c r="J135" s="244">
        <v>50</v>
      </c>
      <c r="K135" s="177">
        <v>220</v>
      </c>
      <c r="L135" s="244">
        <f t="shared" si="14"/>
        <v>11</v>
      </c>
      <c r="M135" s="244">
        <f t="shared" si="15"/>
        <v>0</v>
      </c>
      <c r="N135" s="244">
        <f t="shared" si="13"/>
        <v>40</v>
      </c>
      <c r="O135" s="244">
        <f t="shared" si="16"/>
        <v>2</v>
      </c>
    </row>
    <row r="136" spans="1:15" ht="17.25">
      <c r="A136" s="177">
        <v>32</v>
      </c>
      <c r="B136" s="108" t="s">
        <v>922</v>
      </c>
      <c r="C136" s="177" t="s">
        <v>1</v>
      </c>
      <c r="D136" s="177">
        <v>80</v>
      </c>
      <c r="E136" s="177">
        <v>40</v>
      </c>
      <c r="F136" s="268">
        <f t="shared" si="17"/>
        <v>3.2</v>
      </c>
      <c r="G136" s="177">
        <v>10</v>
      </c>
      <c r="H136" s="177">
        <v>400</v>
      </c>
      <c r="I136" s="244">
        <f t="shared" si="12"/>
        <v>4</v>
      </c>
      <c r="J136" s="244"/>
      <c r="K136" s="177"/>
      <c r="L136" s="244">
        <f t="shared" si="14"/>
        <v>0</v>
      </c>
      <c r="M136" s="244">
        <f t="shared" si="15"/>
        <v>-10</v>
      </c>
      <c r="N136" s="244">
        <f t="shared" si="13"/>
        <v>-400</v>
      </c>
      <c r="O136" s="244">
        <f t="shared" si="16"/>
        <v>-4</v>
      </c>
    </row>
    <row r="137" spans="1:15" ht="34.5">
      <c r="A137" s="177">
        <v>33</v>
      </c>
      <c r="B137" s="108" t="s">
        <v>393</v>
      </c>
      <c r="C137" s="177" t="s">
        <v>1</v>
      </c>
      <c r="D137" s="177"/>
      <c r="E137" s="177"/>
      <c r="F137" s="177">
        <f t="shared" si="17"/>
        <v>0</v>
      </c>
      <c r="G137" s="177">
        <v>0</v>
      </c>
      <c r="H137" s="177">
        <v>0</v>
      </c>
      <c r="I137" s="244">
        <f t="shared" si="12"/>
        <v>0</v>
      </c>
      <c r="J137" s="244">
        <v>20</v>
      </c>
      <c r="K137" s="177">
        <v>3000</v>
      </c>
      <c r="L137" s="244">
        <f t="shared" si="14"/>
        <v>60</v>
      </c>
      <c r="M137" s="244">
        <f t="shared" si="15"/>
        <v>20</v>
      </c>
      <c r="N137" s="244">
        <f t="shared" si="13"/>
        <v>3000</v>
      </c>
      <c r="O137" s="244">
        <f t="shared" si="16"/>
        <v>60</v>
      </c>
    </row>
    <row r="138" spans="1:15" ht="17.25">
      <c r="A138" s="177">
        <v>34</v>
      </c>
      <c r="B138" s="108" t="s">
        <v>394</v>
      </c>
      <c r="C138" s="177" t="s">
        <v>1</v>
      </c>
      <c r="D138" s="177"/>
      <c r="E138" s="177"/>
      <c r="F138" s="177">
        <f t="shared" si="17"/>
        <v>0</v>
      </c>
      <c r="G138" s="177"/>
      <c r="H138" s="177"/>
      <c r="I138" s="244">
        <f t="shared" si="12"/>
        <v>0</v>
      </c>
      <c r="J138" s="244"/>
      <c r="K138" s="177"/>
      <c r="L138" s="244">
        <f t="shared" si="14"/>
        <v>0</v>
      </c>
      <c r="M138" s="244">
        <f t="shared" si="15"/>
        <v>0</v>
      </c>
      <c r="N138" s="244">
        <f t="shared" si="13"/>
        <v>0</v>
      </c>
      <c r="O138" s="244">
        <f t="shared" si="16"/>
        <v>0</v>
      </c>
    </row>
    <row r="139" spans="1:15" ht="22.5" customHeight="1">
      <c r="A139" s="177">
        <v>35</v>
      </c>
      <c r="B139" s="108" t="s">
        <v>966</v>
      </c>
      <c r="C139" s="177" t="s">
        <v>1</v>
      </c>
      <c r="D139" s="177"/>
      <c r="E139" s="177"/>
      <c r="F139" s="177">
        <f t="shared" si="17"/>
        <v>0</v>
      </c>
      <c r="G139" s="177">
        <v>100</v>
      </c>
      <c r="H139" s="177">
        <v>150</v>
      </c>
      <c r="I139" s="244">
        <f t="shared" si="12"/>
        <v>15</v>
      </c>
      <c r="J139" s="244"/>
      <c r="K139" s="177"/>
      <c r="L139" s="244">
        <f t="shared" si="14"/>
        <v>0</v>
      </c>
      <c r="M139" s="244">
        <f t="shared" si="15"/>
        <v>-100</v>
      </c>
      <c r="N139" s="244">
        <f t="shared" si="13"/>
        <v>-150</v>
      </c>
      <c r="O139" s="244">
        <f t="shared" si="16"/>
        <v>-15</v>
      </c>
    </row>
    <row r="140" spans="1:15" ht="17.25">
      <c r="A140" s="177">
        <v>36</v>
      </c>
      <c r="B140" s="108" t="s">
        <v>923</v>
      </c>
      <c r="C140" s="177" t="s">
        <v>1</v>
      </c>
      <c r="D140" s="177">
        <v>20</v>
      </c>
      <c r="E140" s="177">
        <v>180</v>
      </c>
      <c r="F140" s="177">
        <f t="shared" si="17"/>
        <v>3.6</v>
      </c>
      <c r="G140" s="177">
        <v>50</v>
      </c>
      <c r="H140" s="177">
        <v>200</v>
      </c>
      <c r="I140" s="244">
        <f t="shared" si="12"/>
        <v>10</v>
      </c>
      <c r="J140" s="244"/>
      <c r="K140" s="177"/>
      <c r="L140" s="244">
        <f t="shared" si="14"/>
        <v>0</v>
      </c>
      <c r="M140" s="244">
        <f t="shared" si="15"/>
        <v>-50</v>
      </c>
      <c r="N140" s="244">
        <f t="shared" si="13"/>
        <v>-200</v>
      </c>
      <c r="O140" s="244">
        <f t="shared" si="16"/>
        <v>-10</v>
      </c>
    </row>
    <row r="141" spans="1:15" ht="17.25">
      <c r="A141" s="177">
        <v>37</v>
      </c>
      <c r="B141" s="108" t="s">
        <v>396</v>
      </c>
      <c r="C141" s="177" t="s">
        <v>1</v>
      </c>
      <c r="D141" s="177"/>
      <c r="E141" s="177"/>
      <c r="F141" s="177">
        <f t="shared" si="17"/>
        <v>0</v>
      </c>
      <c r="G141" s="177">
        <v>30</v>
      </c>
      <c r="H141" s="177">
        <v>650</v>
      </c>
      <c r="I141" s="244">
        <f t="shared" si="12"/>
        <v>19.5</v>
      </c>
      <c r="J141" s="244"/>
      <c r="K141" s="177"/>
      <c r="L141" s="244">
        <f t="shared" si="14"/>
        <v>0</v>
      </c>
      <c r="M141" s="244">
        <f t="shared" si="15"/>
        <v>-30</v>
      </c>
      <c r="N141" s="244">
        <f t="shared" si="13"/>
        <v>-650</v>
      </c>
      <c r="O141" s="244">
        <f t="shared" si="16"/>
        <v>-19.5</v>
      </c>
    </row>
    <row r="142" spans="1:15" ht="17.25">
      <c r="A142" s="177">
        <v>38</v>
      </c>
      <c r="B142" s="108" t="s">
        <v>395</v>
      </c>
      <c r="C142" s="177" t="s">
        <v>1</v>
      </c>
      <c r="D142" s="177"/>
      <c r="E142" s="177"/>
      <c r="F142" s="177">
        <f t="shared" si="17"/>
        <v>0</v>
      </c>
      <c r="G142" s="177">
        <v>50</v>
      </c>
      <c r="H142" s="177">
        <v>700</v>
      </c>
      <c r="I142" s="244">
        <f t="shared" si="12"/>
        <v>35</v>
      </c>
      <c r="J142" s="244"/>
      <c r="K142" s="177"/>
      <c r="L142" s="244">
        <f t="shared" si="14"/>
        <v>0</v>
      </c>
      <c r="M142" s="244">
        <f t="shared" si="15"/>
        <v>-50</v>
      </c>
      <c r="N142" s="244">
        <f t="shared" si="13"/>
        <v>-700</v>
      </c>
      <c r="O142" s="244">
        <f t="shared" si="16"/>
        <v>-35</v>
      </c>
    </row>
    <row r="143" spans="1:15" ht="17.25">
      <c r="A143" s="177">
        <v>39</v>
      </c>
      <c r="B143" s="108" t="s">
        <v>395</v>
      </c>
      <c r="C143" s="177" t="s">
        <v>1</v>
      </c>
      <c r="D143" s="177"/>
      <c r="E143" s="177"/>
      <c r="F143" s="177">
        <f t="shared" si="17"/>
        <v>0</v>
      </c>
      <c r="G143" s="177">
        <v>90</v>
      </c>
      <c r="H143" s="177">
        <v>100</v>
      </c>
      <c r="I143" s="244">
        <f t="shared" si="12"/>
        <v>9</v>
      </c>
      <c r="J143" s="244"/>
      <c r="K143" s="177"/>
      <c r="L143" s="244">
        <f t="shared" si="14"/>
        <v>0</v>
      </c>
      <c r="M143" s="244">
        <f t="shared" si="15"/>
        <v>-90</v>
      </c>
      <c r="N143" s="244">
        <f t="shared" si="13"/>
        <v>-100</v>
      </c>
      <c r="O143" s="244">
        <f t="shared" si="16"/>
        <v>-9</v>
      </c>
    </row>
    <row r="144" spans="1:15" ht="17.25">
      <c r="A144" s="177">
        <v>40</v>
      </c>
      <c r="B144" s="108" t="s">
        <v>395</v>
      </c>
      <c r="C144" s="177" t="s">
        <v>1</v>
      </c>
      <c r="D144" s="177"/>
      <c r="E144" s="177"/>
      <c r="F144" s="177">
        <f t="shared" si="17"/>
        <v>0</v>
      </c>
      <c r="G144" s="177">
        <v>80</v>
      </c>
      <c r="H144" s="177">
        <v>150</v>
      </c>
      <c r="I144" s="244">
        <f t="shared" si="12"/>
        <v>12</v>
      </c>
      <c r="J144" s="244"/>
      <c r="K144" s="177"/>
      <c r="L144" s="244">
        <f t="shared" si="14"/>
        <v>0</v>
      </c>
      <c r="M144" s="244">
        <f t="shared" si="15"/>
        <v>-80</v>
      </c>
      <c r="N144" s="244">
        <f t="shared" si="13"/>
        <v>-150</v>
      </c>
      <c r="O144" s="244">
        <f t="shared" si="16"/>
        <v>-12</v>
      </c>
    </row>
    <row r="145" spans="1:16" ht="17.25">
      <c r="A145" s="177"/>
      <c r="B145" s="108" t="s">
        <v>395</v>
      </c>
      <c r="C145" s="177"/>
      <c r="D145" s="177"/>
      <c r="E145" s="177"/>
      <c r="F145" s="177"/>
      <c r="G145" s="177">
        <v>80</v>
      </c>
      <c r="H145" s="177">
        <v>450</v>
      </c>
      <c r="I145" s="244">
        <f t="shared" si="12"/>
        <v>36</v>
      </c>
      <c r="J145" s="244"/>
      <c r="K145" s="177"/>
      <c r="L145" s="244">
        <f t="shared" si="14"/>
        <v>0</v>
      </c>
      <c r="M145" s="244">
        <f t="shared" si="15"/>
        <v>-80</v>
      </c>
      <c r="N145" s="244">
        <f t="shared" si="13"/>
        <v>-450</v>
      </c>
      <c r="O145" s="244">
        <f t="shared" si="16"/>
        <v>-36</v>
      </c>
      <c r="P145" s="280"/>
    </row>
    <row r="146" spans="1:15" ht="17.25">
      <c r="A146" s="177"/>
      <c r="B146" s="108" t="s">
        <v>395</v>
      </c>
      <c r="C146" s="177"/>
      <c r="D146" s="177"/>
      <c r="E146" s="177"/>
      <c r="F146" s="177"/>
      <c r="G146" s="177">
        <v>80</v>
      </c>
      <c r="H146" s="177">
        <v>600</v>
      </c>
      <c r="I146" s="244">
        <f t="shared" si="12"/>
        <v>48</v>
      </c>
      <c r="J146" s="244"/>
      <c r="K146" s="177"/>
      <c r="L146" s="244">
        <f t="shared" si="14"/>
        <v>0</v>
      </c>
      <c r="M146" s="244">
        <f t="shared" si="15"/>
        <v>-80</v>
      </c>
      <c r="N146" s="244">
        <f t="shared" si="13"/>
        <v>-600</v>
      </c>
      <c r="O146" s="244">
        <f t="shared" si="16"/>
        <v>-48</v>
      </c>
    </row>
    <row r="147" spans="1:15" ht="17.25">
      <c r="A147" s="177">
        <v>41</v>
      </c>
      <c r="B147" s="108" t="s">
        <v>959</v>
      </c>
      <c r="C147" s="177" t="s">
        <v>1</v>
      </c>
      <c r="D147" s="177"/>
      <c r="E147" s="177"/>
      <c r="F147" s="177"/>
      <c r="G147" s="177"/>
      <c r="H147" s="177"/>
      <c r="I147" s="244"/>
      <c r="J147" s="244">
        <v>50</v>
      </c>
      <c r="K147" s="177">
        <v>700</v>
      </c>
      <c r="L147" s="244">
        <f t="shared" si="14"/>
        <v>35</v>
      </c>
      <c r="M147" s="244"/>
      <c r="N147" s="244">
        <f t="shared" si="13"/>
        <v>700</v>
      </c>
      <c r="O147" s="244">
        <f t="shared" si="16"/>
        <v>35</v>
      </c>
    </row>
    <row r="148" spans="1:15" ht="17.25">
      <c r="A148" s="177">
        <v>42</v>
      </c>
      <c r="B148" s="108" t="s">
        <v>961</v>
      </c>
      <c r="C148" s="177" t="s">
        <v>1</v>
      </c>
      <c r="D148" s="177"/>
      <c r="E148" s="177"/>
      <c r="F148" s="177"/>
      <c r="G148" s="177"/>
      <c r="H148" s="177"/>
      <c r="I148" s="244"/>
      <c r="J148" s="244">
        <v>100</v>
      </c>
      <c r="K148" s="177">
        <v>200</v>
      </c>
      <c r="L148" s="244">
        <f t="shared" si="14"/>
        <v>20</v>
      </c>
      <c r="M148" s="244"/>
      <c r="N148" s="244">
        <f t="shared" si="13"/>
        <v>200</v>
      </c>
      <c r="O148" s="244">
        <f t="shared" si="16"/>
        <v>20</v>
      </c>
    </row>
    <row r="149" spans="1:15" ht="17.25">
      <c r="A149" s="177">
        <v>43</v>
      </c>
      <c r="B149" s="108" t="s">
        <v>960</v>
      </c>
      <c r="C149" s="177" t="s">
        <v>1</v>
      </c>
      <c r="D149" s="177"/>
      <c r="E149" s="177"/>
      <c r="F149" s="177"/>
      <c r="G149" s="177"/>
      <c r="H149" s="177"/>
      <c r="I149" s="244"/>
      <c r="J149" s="244">
        <v>50</v>
      </c>
      <c r="K149" s="177">
        <v>200</v>
      </c>
      <c r="L149" s="244">
        <f t="shared" si="14"/>
        <v>10</v>
      </c>
      <c r="M149" s="244"/>
      <c r="N149" s="244">
        <f t="shared" si="13"/>
        <v>200</v>
      </c>
      <c r="O149" s="244">
        <f t="shared" si="16"/>
        <v>10</v>
      </c>
    </row>
    <row r="150" spans="1:15" ht="17.25">
      <c r="A150" s="177">
        <v>44</v>
      </c>
      <c r="B150" s="108" t="s">
        <v>1457</v>
      </c>
      <c r="C150" s="177" t="s">
        <v>1</v>
      </c>
      <c r="D150" s="177"/>
      <c r="E150" s="177"/>
      <c r="F150" s="177"/>
      <c r="G150" s="177"/>
      <c r="H150" s="177"/>
      <c r="I150" s="244"/>
      <c r="J150" s="244">
        <v>50</v>
      </c>
      <c r="K150" s="177">
        <v>850</v>
      </c>
      <c r="L150" s="244">
        <f t="shared" si="14"/>
        <v>42.5</v>
      </c>
      <c r="M150" s="244"/>
      <c r="N150" s="244">
        <f t="shared" si="13"/>
        <v>850</v>
      </c>
      <c r="O150" s="244">
        <f t="shared" si="16"/>
        <v>42.5</v>
      </c>
    </row>
    <row r="151" spans="1:15" ht="17.25">
      <c r="A151" s="177">
        <v>45</v>
      </c>
      <c r="B151" s="108" t="s">
        <v>962</v>
      </c>
      <c r="C151" s="177" t="s">
        <v>1</v>
      </c>
      <c r="D151" s="177"/>
      <c r="E151" s="177"/>
      <c r="F151" s="177"/>
      <c r="G151" s="177"/>
      <c r="H151" s="177"/>
      <c r="I151" s="244"/>
      <c r="J151" s="244">
        <v>150</v>
      </c>
      <c r="K151" s="177">
        <v>500</v>
      </c>
      <c r="L151" s="244">
        <f t="shared" si="14"/>
        <v>75</v>
      </c>
      <c r="M151" s="244"/>
      <c r="N151" s="244">
        <f t="shared" si="13"/>
        <v>500</v>
      </c>
      <c r="O151" s="244">
        <f t="shared" si="16"/>
        <v>75</v>
      </c>
    </row>
    <row r="152" spans="1:15" ht="17.25">
      <c r="A152" s="177">
        <v>46</v>
      </c>
      <c r="B152" s="108" t="s">
        <v>397</v>
      </c>
      <c r="C152" s="177" t="s">
        <v>1</v>
      </c>
      <c r="D152" s="177">
        <v>3000</v>
      </c>
      <c r="E152" s="177">
        <v>9</v>
      </c>
      <c r="F152" s="244">
        <f aca="true" t="shared" si="18" ref="F152:F181">(D152*E152)/1000</f>
        <v>27</v>
      </c>
      <c r="G152" s="177">
        <v>2000</v>
      </c>
      <c r="H152" s="177">
        <v>10</v>
      </c>
      <c r="I152" s="280">
        <f>(G152*H152)/1000</f>
        <v>20</v>
      </c>
      <c r="J152" s="244">
        <v>1000</v>
      </c>
      <c r="K152" s="177">
        <v>30</v>
      </c>
      <c r="L152" s="244">
        <f t="shared" si="14"/>
        <v>30</v>
      </c>
      <c r="M152" s="244">
        <f t="shared" si="15"/>
        <v>-1000</v>
      </c>
      <c r="N152" s="244">
        <f t="shared" si="13"/>
        <v>20</v>
      </c>
      <c r="O152" s="244">
        <f t="shared" si="16"/>
        <v>10</v>
      </c>
    </row>
    <row r="153" spans="1:15" ht="17.25">
      <c r="A153" s="177">
        <v>47</v>
      </c>
      <c r="B153" s="108" t="s">
        <v>398</v>
      </c>
      <c r="C153" s="177" t="s">
        <v>1</v>
      </c>
      <c r="D153" s="177"/>
      <c r="E153" s="177"/>
      <c r="F153" s="177">
        <f t="shared" si="18"/>
        <v>0</v>
      </c>
      <c r="G153" s="177">
        <v>30</v>
      </c>
      <c r="H153" s="177">
        <v>150</v>
      </c>
      <c r="I153" s="244">
        <f t="shared" si="12"/>
        <v>4.5</v>
      </c>
      <c r="J153" s="244">
        <v>30</v>
      </c>
      <c r="K153" s="177">
        <v>180</v>
      </c>
      <c r="L153" s="244">
        <f t="shared" si="14"/>
        <v>5.4</v>
      </c>
      <c r="M153" s="244">
        <f t="shared" si="15"/>
        <v>0</v>
      </c>
      <c r="N153" s="244">
        <f t="shared" si="13"/>
        <v>30</v>
      </c>
      <c r="O153" s="244">
        <f t="shared" si="16"/>
        <v>0.9000000000000004</v>
      </c>
    </row>
    <row r="154" spans="1:15" ht="17.25">
      <c r="A154" s="177">
        <v>48</v>
      </c>
      <c r="B154" s="108" t="s">
        <v>399</v>
      </c>
      <c r="C154" s="177" t="s">
        <v>1</v>
      </c>
      <c r="D154" s="177"/>
      <c r="E154" s="177"/>
      <c r="F154" s="177">
        <f t="shared" si="18"/>
        <v>0</v>
      </c>
      <c r="G154" s="177">
        <v>20</v>
      </c>
      <c r="H154" s="177">
        <v>300</v>
      </c>
      <c r="I154" s="244">
        <f t="shared" si="12"/>
        <v>6</v>
      </c>
      <c r="J154" s="244">
        <v>30</v>
      </c>
      <c r="K154" s="177">
        <v>300</v>
      </c>
      <c r="L154" s="244">
        <f t="shared" si="14"/>
        <v>9</v>
      </c>
      <c r="M154" s="244">
        <f t="shared" si="15"/>
        <v>10</v>
      </c>
      <c r="N154" s="244">
        <f t="shared" si="13"/>
        <v>0</v>
      </c>
      <c r="O154" s="244">
        <f t="shared" si="16"/>
        <v>3</v>
      </c>
    </row>
    <row r="155" spans="1:15" ht="17.25">
      <c r="A155" s="177">
        <v>49</v>
      </c>
      <c r="B155" s="108" t="s">
        <v>400</v>
      </c>
      <c r="C155" s="177" t="s">
        <v>1</v>
      </c>
      <c r="D155" s="177">
        <v>130</v>
      </c>
      <c r="E155" s="177">
        <v>120</v>
      </c>
      <c r="F155" s="177">
        <f t="shared" si="18"/>
        <v>15.6</v>
      </c>
      <c r="G155" s="177">
        <v>50</v>
      </c>
      <c r="H155" s="177">
        <v>150</v>
      </c>
      <c r="I155" s="244">
        <f t="shared" si="12"/>
        <v>7.5</v>
      </c>
      <c r="J155" s="244"/>
      <c r="K155" s="177"/>
      <c r="L155" s="244">
        <f t="shared" si="14"/>
        <v>0</v>
      </c>
      <c r="M155" s="244">
        <f t="shared" si="15"/>
        <v>-50</v>
      </c>
      <c r="N155" s="244">
        <f t="shared" si="13"/>
        <v>-150</v>
      </c>
      <c r="O155" s="244">
        <f t="shared" si="16"/>
        <v>-7.5</v>
      </c>
    </row>
    <row r="156" spans="1:15" ht="17.25">
      <c r="A156" s="177">
        <v>50</v>
      </c>
      <c r="B156" s="108" t="s">
        <v>400</v>
      </c>
      <c r="C156" s="177" t="s">
        <v>1</v>
      </c>
      <c r="D156" s="177"/>
      <c r="E156" s="177"/>
      <c r="F156" s="177">
        <f t="shared" si="18"/>
        <v>0</v>
      </c>
      <c r="G156" s="177">
        <v>100</v>
      </c>
      <c r="H156" s="177">
        <v>140</v>
      </c>
      <c r="I156" s="244">
        <f t="shared" si="12"/>
        <v>14</v>
      </c>
      <c r="J156" s="244"/>
      <c r="K156" s="177"/>
      <c r="L156" s="244">
        <f t="shared" si="14"/>
        <v>0</v>
      </c>
      <c r="M156" s="244">
        <f t="shared" si="15"/>
        <v>-100</v>
      </c>
      <c r="N156" s="244">
        <f t="shared" si="13"/>
        <v>-140</v>
      </c>
      <c r="O156" s="244">
        <f t="shared" si="16"/>
        <v>-14</v>
      </c>
    </row>
    <row r="157" spans="1:15" ht="17.25">
      <c r="A157" s="177">
        <v>51</v>
      </c>
      <c r="B157" s="108" t="s">
        <v>401</v>
      </c>
      <c r="C157" s="177" t="s">
        <v>1</v>
      </c>
      <c r="D157" s="177"/>
      <c r="E157" s="177"/>
      <c r="F157" s="177">
        <f t="shared" si="18"/>
        <v>0</v>
      </c>
      <c r="G157" s="177">
        <v>200</v>
      </c>
      <c r="H157" s="177">
        <v>80</v>
      </c>
      <c r="I157" s="244">
        <f t="shared" si="12"/>
        <v>16</v>
      </c>
      <c r="J157" s="244"/>
      <c r="K157" s="177"/>
      <c r="L157" s="244">
        <f t="shared" si="14"/>
        <v>0</v>
      </c>
      <c r="M157" s="244">
        <f t="shared" si="15"/>
        <v>-200</v>
      </c>
      <c r="N157" s="244">
        <f t="shared" si="13"/>
        <v>-80</v>
      </c>
      <c r="O157" s="244">
        <f t="shared" si="16"/>
        <v>-16</v>
      </c>
    </row>
    <row r="158" spans="1:15" ht="17.25">
      <c r="A158" s="177">
        <v>52</v>
      </c>
      <c r="B158" s="108" t="s">
        <v>401</v>
      </c>
      <c r="C158" s="177" t="s">
        <v>1</v>
      </c>
      <c r="D158" s="177"/>
      <c r="E158" s="177"/>
      <c r="F158" s="177">
        <f t="shared" si="18"/>
        <v>0</v>
      </c>
      <c r="G158" s="177">
        <v>50</v>
      </c>
      <c r="H158" s="177">
        <v>1250</v>
      </c>
      <c r="I158" s="244">
        <f t="shared" si="12"/>
        <v>62.5</v>
      </c>
      <c r="J158" s="244"/>
      <c r="K158" s="177"/>
      <c r="L158" s="244"/>
      <c r="M158" s="244"/>
      <c r="N158" s="244">
        <f t="shared" si="13"/>
        <v>-1250</v>
      </c>
      <c r="O158" s="244"/>
    </row>
    <row r="159" spans="1:15" ht="16.5" customHeight="1">
      <c r="A159" s="177">
        <v>53</v>
      </c>
      <c r="B159" s="108" t="s">
        <v>402</v>
      </c>
      <c r="C159" s="177" t="s">
        <v>1</v>
      </c>
      <c r="D159" s="177">
        <v>10</v>
      </c>
      <c r="E159" s="177">
        <v>600</v>
      </c>
      <c r="F159" s="244">
        <f t="shared" si="18"/>
        <v>6</v>
      </c>
      <c r="G159" s="177">
        <v>30</v>
      </c>
      <c r="H159" s="177">
        <v>600</v>
      </c>
      <c r="I159" s="244">
        <f t="shared" si="12"/>
        <v>18</v>
      </c>
      <c r="J159" s="244">
        <v>10</v>
      </c>
      <c r="K159" s="177">
        <v>600</v>
      </c>
      <c r="L159" s="244">
        <f t="shared" si="14"/>
        <v>6</v>
      </c>
      <c r="M159" s="244">
        <f t="shared" si="15"/>
        <v>-20</v>
      </c>
      <c r="N159" s="244">
        <f t="shared" si="13"/>
        <v>0</v>
      </c>
      <c r="O159" s="244">
        <f t="shared" si="16"/>
        <v>-12</v>
      </c>
    </row>
    <row r="160" spans="1:15" ht="17.25">
      <c r="A160" s="177">
        <v>54</v>
      </c>
      <c r="B160" s="108" t="s">
        <v>403</v>
      </c>
      <c r="C160" s="177" t="s">
        <v>1</v>
      </c>
      <c r="D160" s="177">
        <v>10</v>
      </c>
      <c r="E160" s="177">
        <v>1200</v>
      </c>
      <c r="F160" s="244">
        <f t="shared" si="18"/>
        <v>12</v>
      </c>
      <c r="G160" s="177">
        <v>30</v>
      </c>
      <c r="H160" s="177">
        <v>1200</v>
      </c>
      <c r="I160" s="244">
        <f t="shared" si="12"/>
        <v>36</v>
      </c>
      <c r="J160" s="244">
        <v>15</v>
      </c>
      <c r="K160" s="177">
        <v>1900</v>
      </c>
      <c r="L160" s="244">
        <f t="shared" si="14"/>
        <v>28.5</v>
      </c>
      <c r="M160" s="244">
        <f t="shared" si="15"/>
        <v>-15</v>
      </c>
      <c r="N160" s="244">
        <f t="shared" si="13"/>
        <v>700</v>
      </c>
      <c r="O160" s="244">
        <f t="shared" si="16"/>
        <v>-7.5</v>
      </c>
    </row>
    <row r="161" spans="1:15" ht="17.25">
      <c r="A161" s="177">
        <v>55</v>
      </c>
      <c r="B161" s="108" t="s">
        <v>810</v>
      </c>
      <c r="C161" s="177" t="s">
        <v>1</v>
      </c>
      <c r="D161" s="177"/>
      <c r="E161" s="177"/>
      <c r="F161" s="177">
        <f t="shared" si="18"/>
        <v>0</v>
      </c>
      <c r="G161" s="177">
        <v>15</v>
      </c>
      <c r="H161" s="177">
        <v>4500</v>
      </c>
      <c r="I161" s="244">
        <f t="shared" si="12"/>
        <v>67.5</v>
      </c>
      <c r="J161" s="244">
        <v>10</v>
      </c>
      <c r="K161" s="177">
        <v>4500</v>
      </c>
      <c r="L161" s="244">
        <f t="shared" si="14"/>
        <v>45</v>
      </c>
      <c r="M161" s="244">
        <f t="shared" si="15"/>
        <v>-5</v>
      </c>
      <c r="N161" s="244">
        <f t="shared" si="13"/>
        <v>0</v>
      </c>
      <c r="O161" s="244">
        <f t="shared" si="16"/>
        <v>-22.5</v>
      </c>
    </row>
    <row r="162" spans="1:15" ht="17.25">
      <c r="A162" s="177">
        <v>56</v>
      </c>
      <c r="B162" s="108" t="s">
        <v>404</v>
      </c>
      <c r="C162" s="177" t="s">
        <v>1</v>
      </c>
      <c r="D162" s="177"/>
      <c r="E162" s="177"/>
      <c r="F162" s="177">
        <f t="shared" si="18"/>
        <v>0</v>
      </c>
      <c r="G162" s="177">
        <v>3</v>
      </c>
      <c r="H162" s="177">
        <v>32000</v>
      </c>
      <c r="I162" s="244">
        <f t="shared" si="12"/>
        <v>96</v>
      </c>
      <c r="J162" s="244"/>
      <c r="K162" s="177"/>
      <c r="L162" s="244">
        <f t="shared" si="14"/>
        <v>0</v>
      </c>
      <c r="M162" s="244">
        <f t="shared" si="15"/>
        <v>-3</v>
      </c>
      <c r="N162" s="244">
        <f t="shared" si="13"/>
        <v>-32000</v>
      </c>
      <c r="O162" s="244">
        <f t="shared" si="16"/>
        <v>-96</v>
      </c>
    </row>
    <row r="163" spans="1:15" ht="17.25">
      <c r="A163" s="177">
        <v>57</v>
      </c>
      <c r="B163" s="108" t="s">
        <v>405</v>
      </c>
      <c r="C163" s="177" t="s">
        <v>1</v>
      </c>
      <c r="D163" s="177"/>
      <c r="E163" s="177"/>
      <c r="F163" s="177">
        <f t="shared" si="18"/>
        <v>0</v>
      </c>
      <c r="G163" s="177"/>
      <c r="H163" s="177"/>
      <c r="I163" s="244">
        <f t="shared" si="12"/>
        <v>0</v>
      </c>
      <c r="J163" s="244">
        <v>100</v>
      </c>
      <c r="K163" s="177">
        <v>250</v>
      </c>
      <c r="L163" s="244">
        <f t="shared" si="14"/>
        <v>25</v>
      </c>
      <c r="M163" s="244">
        <f t="shared" si="15"/>
        <v>100</v>
      </c>
      <c r="N163" s="244">
        <f t="shared" si="13"/>
        <v>250</v>
      </c>
      <c r="O163" s="244">
        <f t="shared" si="16"/>
        <v>25</v>
      </c>
    </row>
    <row r="164" spans="1:15" ht="17.25">
      <c r="A164" s="177">
        <v>58</v>
      </c>
      <c r="B164" s="108" t="s">
        <v>979</v>
      </c>
      <c r="C164" s="177" t="s">
        <v>1</v>
      </c>
      <c r="D164" s="177">
        <v>1150</v>
      </c>
      <c r="E164" s="177">
        <v>1240</v>
      </c>
      <c r="F164" s="244">
        <f t="shared" si="18"/>
        <v>1426</v>
      </c>
      <c r="G164" s="177">
        <v>1150</v>
      </c>
      <c r="H164" s="177">
        <v>1250</v>
      </c>
      <c r="I164" s="244">
        <f t="shared" si="12"/>
        <v>1437.5</v>
      </c>
      <c r="J164" s="244">
        <v>1150</v>
      </c>
      <c r="K164" s="177">
        <v>1300</v>
      </c>
      <c r="L164" s="244">
        <f t="shared" si="14"/>
        <v>1495</v>
      </c>
      <c r="M164" s="244">
        <f t="shared" si="15"/>
        <v>0</v>
      </c>
      <c r="N164" s="244">
        <f t="shared" si="13"/>
        <v>50</v>
      </c>
      <c r="O164" s="244">
        <f t="shared" si="16"/>
        <v>57.5</v>
      </c>
    </row>
    <row r="165" spans="1:15" ht="18" customHeight="1">
      <c r="A165" s="177">
        <v>59</v>
      </c>
      <c r="B165" s="108" t="s">
        <v>406</v>
      </c>
      <c r="C165" s="177" t="s">
        <v>1</v>
      </c>
      <c r="D165" s="177">
        <v>10</v>
      </c>
      <c r="E165" s="177">
        <v>3000</v>
      </c>
      <c r="F165" s="244">
        <f t="shared" si="18"/>
        <v>30</v>
      </c>
      <c r="G165" s="177">
        <v>20</v>
      </c>
      <c r="H165" s="177">
        <v>3000</v>
      </c>
      <c r="I165" s="244">
        <f t="shared" si="12"/>
        <v>60</v>
      </c>
      <c r="J165" s="244">
        <v>10</v>
      </c>
      <c r="K165" s="177">
        <v>3800</v>
      </c>
      <c r="L165" s="244">
        <f t="shared" si="14"/>
        <v>38</v>
      </c>
      <c r="M165" s="244">
        <f t="shared" si="15"/>
        <v>-10</v>
      </c>
      <c r="N165" s="244">
        <f t="shared" si="13"/>
        <v>800</v>
      </c>
      <c r="O165" s="244">
        <f t="shared" si="16"/>
        <v>-22</v>
      </c>
    </row>
    <row r="166" spans="1:15" ht="17.25">
      <c r="A166" s="177">
        <v>60</v>
      </c>
      <c r="B166" s="108" t="s">
        <v>407</v>
      </c>
      <c r="C166" s="177" t="s">
        <v>1</v>
      </c>
      <c r="D166" s="177">
        <v>150</v>
      </c>
      <c r="E166" s="177">
        <v>250</v>
      </c>
      <c r="F166" s="177">
        <f t="shared" si="18"/>
        <v>37.5</v>
      </c>
      <c r="G166" s="177">
        <v>100</v>
      </c>
      <c r="H166" s="177">
        <v>300</v>
      </c>
      <c r="I166" s="244">
        <f t="shared" si="12"/>
        <v>30</v>
      </c>
      <c r="J166" s="244">
        <v>100</v>
      </c>
      <c r="K166" s="177">
        <v>250</v>
      </c>
      <c r="L166" s="244">
        <f t="shared" si="14"/>
        <v>25</v>
      </c>
      <c r="M166" s="244">
        <f t="shared" si="15"/>
        <v>0</v>
      </c>
      <c r="N166" s="244">
        <f t="shared" si="13"/>
        <v>-50</v>
      </c>
      <c r="O166" s="244">
        <f t="shared" si="16"/>
        <v>-5</v>
      </c>
    </row>
    <row r="167" spans="1:15" ht="17.25">
      <c r="A167" s="177">
        <v>61</v>
      </c>
      <c r="B167" s="108" t="s">
        <v>408</v>
      </c>
      <c r="C167" s="177" t="s">
        <v>1</v>
      </c>
      <c r="D167" s="177"/>
      <c r="E167" s="177"/>
      <c r="F167" s="177">
        <f t="shared" si="18"/>
        <v>0</v>
      </c>
      <c r="G167" s="177">
        <v>0</v>
      </c>
      <c r="H167" s="177">
        <v>0</v>
      </c>
      <c r="I167" s="244">
        <f t="shared" si="12"/>
        <v>0</v>
      </c>
      <c r="J167" s="244"/>
      <c r="K167" s="177"/>
      <c r="L167" s="244">
        <f t="shared" si="14"/>
        <v>0</v>
      </c>
      <c r="M167" s="244">
        <f t="shared" si="15"/>
        <v>0</v>
      </c>
      <c r="N167" s="244">
        <f t="shared" si="13"/>
        <v>0</v>
      </c>
      <c r="O167" s="244">
        <f t="shared" si="16"/>
        <v>0</v>
      </c>
    </row>
    <row r="168" spans="1:15" ht="17.25">
      <c r="A168" s="177">
        <v>62</v>
      </c>
      <c r="B168" s="108" t="s">
        <v>409</v>
      </c>
      <c r="C168" s="177" t="s">
        <v>1</v>
      </c>
      <c r="D168" s="177"/>
      <c r="E168" s="177"/>
      <c r="F168" s="177">
        <f t="shared" si="18"/>
        <v>0</v>
      </c>
      <c r="G168" s="177">
        <v>0</v>
      </c>
      <c r="H168" s="177">
        <v>0</v>
      </c>
      <c r="I168" s="244">
        <f t="shared" si="12"/>
        <v>0</v>
      </c>
      <c r="J168" s="244"/>
      <c r="K168" s="177"/>
      <c r="L168" s="244">
        <f t="shared" si="14"/>
        <v>0</v>
      </c>
      <c r="M168" s="244">
        <f t="shared" si="15"/>
        <v>0</v>
      </c>
      <c r="N168" s="244">
        <f t="shared" si="13"/>
        <v>0</v>
      </c>
      <c r="O168" s="244">
        <f t="shared" si="16"/>
        <v>0</v>
      </c>
    </row>
    <row r="169" spans="1:15" ht="17.25">
      <c r="A169" s="177">
        <v>64</v>
      </c>
      <c r="B169" s="108" t="s">
        <v>411</v>
      </c>
      <c r="C169" s="177" t="s">
        <v>1</v>
      </c>
      <c r="D169" s="177"/>
      <c r="E169" s="177"/>
      <c r="F169" s="177">
        <f t="shared" si="18"/>
        <v>0</v>
      </c>
      <c r="G169" s="177">
        <v>1440</v>
      </c>
      <c r="H169" s="177">
        <v>30</v>
      </c>
      <c r="I169" s="244">
        <f t="shared" si="12"/>
        <v>43.2</v>
      </c>
      <c r="J169" s="244">
        <v>900</v>
      </c>
      <c r="K169" s="177">
        <v>15</v>
      </c>
      <c r="L169" s="244">
        <f t="shared" si="14"/>
        <v>13.5</v>
      </c>
      <c r="M169" s="244">
        <f t="shared" si="15"/>
        <v>-540</v>
      </c>
      <c r="N169" s="244">
        <f t="shared" si="13"/>
        <v>-15</v>
      </c>
      <c r="O169" s="244">
        <f t="shared" si="16"/>
        <v>-29.700000000000003</v>
      </c>
    </row>
    <row r="170" spans="1:16" ht="17.25">
      <c r="A170" s="177">
        <v>65</v>
      </c>
      <c r="B170" s="108" t="s">
        <v>412</v>
      </c>
      <c r="C170" s="177" t="s">
        <v>1</v>
      </c>
      <c r="D170" s="177"/>
      <c r="E170" s="177"/>
      <c r="F170" s="177">
        <f t="shared" si="18"/>
        <v>0</v>
      </c>
      <c r="G170" s="177">
        <v>1440</v>
      </c>
      <c r="H170" s="177">
        <v>35</v>
      </c>
      <c r="I170" s="244">
        <f t="shared" si="12"/>
        <v>50.4</v>
      </c>
      <c r="J170" s="244">
        <v>1000</v>
      </c>
      <c r="K170" s="177">
        <v>20</v>
      </c>
      <c r="L170" s="244">
        <f t="shared" si="14"/>
        <v>20</v>
      </c>
      <c r="M170" s="244">
        <f t="shared" si="15"/>
        <v>-440</v>
      </c>
      <c r="N170" s="244">
        <f aca="true" t="shared" si="19" ref="N170:N181">K170-H170</f>
        <v>-15</v>
      </c>
      <c r="O170" s="244">
        <f t="shared" si="16"/>
        <v>-30.4</v>
      </c>
      <c r="P170" s="280"/>
    </row>
    <row r="171" spans="1:15" ht="17.25">
      <c r="A171" s="177">
        <v>66</v>
      </c>
      <c r="B171" s="108" t="s">
        <v>413</v>
      </c>
      <c r="C171" s="177" t="s">
        <v>1</v>
      </c>
      <c r="D171" s="177"/>
      <c r="E171" s="177"/>
      <c r="F171" s="177">
        <f t="shared" si="18"/>
        <v>0</v>
      </c>
      <c r="G171" s="177">
        <v>1440</v>
      </c>
      <c r="H171" s="177">
        <v>40</v>
      </c>
      <c r="I171" s="244">
        <f>G171*H171/1000</f>
        <v>57.6</v>
      </c>
      <c r="J171" s="244">
        <v>1200</v>
      </c>
      <c r="K171" s="177">
        <v>30</v>
      </c>
      <c r="L171" s="244">
        <f>J171*K171/1000</f>
        <v>36</v>
      </c>
      <c r="M171" s="244">
        <f t="shared" si="15"/>
        <v>-240</v>
      </c>
      <c r="N171" s="244">
        <f t="shared" si="19"/>
        <v>-10</v>
      </c>
      <c r="O171" s="244">
        <f t="shared" si="16"/>
        <v>-21.6</v>
      </c>
    </row>
    <row r="172" spans="1:15" ht="17.25">
      <c r="A172" s="177">
        <v>67</v>
      </c>
      <c r="B172" s="108" t="s">
        <v>414</v>
      </c>
      <c r="C172" s="177" t="s">
        <v>1</v>
      </c>
      <c r="D172" s="177">
        <v>50</v>
      </c>
      <c r="E172" s="177">
        <v>120</v>
      </c>
      <c r="F172" s="244">
        <f t="shared" si="18"/>
        <v>6</v>
      </c>
      <c r="G172" s="177">
        <v>1440</v>
      </c>
      <c r="H172" s="177">
        <v>45</v>
      </c>
      <c r="I172" s="244">
        <f>G172*H172/1000</f>
        <v>64.8</v>
      </c>
      <c r="J172" s="244">
        <v>1200</v>
      </c>
      <c r="K172" s="177">
        <v>35</v>
      </c>
      <c r="L172" s="244">
        <f>J172*K172/1000</f>
        <v>42</v>
      </c>
      <c r="M172" s="244">
        <f>J172-G172</f>
        <v>-240</v>
      </c>
      <c r="N172" s="244">
        <f t="shared" si="19"/>
        <v>-10</v>
      </c>
      <c r="O172" s="244">
        <f>L172-I172</f>
        <v>-22.799999999999997</v>
      </c>
    </row>
    <row r="173" spans="1:15" ht="17.25">
      <c r="A173" s="177">
        <v>70</v>
      </c>
      <c r="B173" s="108" t="s">
        <v>805</v>
      </c>
      <c r="C173" s="177" t="s">
        <v>1</v>
      </c>
      <c r="D173" s="177"/>
      <c r="E173" s="177"/>
      <c r="F173" s="177">
        <f t="shared" si="18"/>
        <v>0</v>
      </c>
      <c r="G173" s="177">
        <v>50</v>
      </c>
      <c r="H173" s="177">
        <v>300</v>
      </c>
      <c r="I173" s="244">
        <f>G173*H173/1000</f>
        <v>15</v>
      </c>
      <c r="J173" s="244"/>
      <c r="K173" s="177"/>
      <c r="L173" s="244">
        <f>J173*K173/1000</f>
        <v>0</v>
      </c>
      <c r="M173" s="244">
        <f>J173-G173</f>
        <v>-50</v>
      </c>
      <c r="N173" s="244">
        <f t="shared" si="19"/>
        <v>-300</v>
      </c>
      <c r="O173" s="244">
        <f>L173-I173</f>
        <v>-15</v>
      </c>
    </row>
    <row r="174" spans="1:15" ht="17.25">
      <c r="A174" s="177">
        <v>71</v>
      </c>
      <c r="B174" s="108" t="s">
        <v>415</v>
      </c>
      <c r="C174" s="177" t="s">
        <v>1</v>
      </c>
      <c r="D174" s="177"/>
      <c r="E174" s="177"/>
      <c r="F174" s="177">
        <f t="shared" si="18"/>
        <v>0</v>
      </c>
      <c r="G174" s="177">
        <v>100</v>
      </c>
      <c r="H174" s="177">
        <v>200</v>
      </c>
      <c r="I174" s="244">
        <f>G174*H174/1000</f>
        <v>20</v>
      </c>
      <c r="J174" s="244">
        <v>100</v>
      </c>
      <c r="K174" s="177">
        <v>280</v>
      </c>
      <c r="L174" s="244">
        <f aca="true" t="shared" si="20" ref="L174:L180">J174*K174/1000</f>
        <v>28</v>
      </c>
      <c r="M174" s="244"/>
      <c r="N174" s="244">
        <f t="shared" si="19"/>
        <v>80</v>
      </c>
      <c r="O174" s="244">
        <f aca="true" t="shared" si="21" ref="O174:O181">L174-I174</f>
        <v>8</v>
      </c>
    </row>
    <row r="175" spans="1:15" ht="17.25">
      <c r="A175" s="177">
        <v>73</v>
      </c>
      <c r="B175" s="108" t="s">
        <v>934</v>
      </c>
      <c r="C175" s="177" t="s">
        <v>1</v>
      </c>
      <c r="D175" s="177">
        <v>1</v>
      </c>
      <c r="E175" s="177">
        <v>58300</v>
      </c>
      <c r="F175" s="268">
        <f t="shared" si="18"/>
        <v>58.3</v>
      </c>
      <c r="G175" s="177"/>
      <c r="H175" s="177"/>
      <c r="I175" s="244">
        <f aca="true" t="shared" si="22" ref="I175:I181">G175*H175/1000</f>
        <v>0</v>
      </c>
      <c r="J175" s="244"/>
      <c r="K175" s="177"/>
      <c r="L175" s="244">
        <f t="shared" si="20"/>
        <v>0</v>
      </c>
      <c r="M175" s="244"/>
      <c r="N175" s="244">
        <f t="shared" si="19"/>
        <v>0</v>
      </c>
      <c r="O175" s="244">
        <f t="shared" si="21"/>
        <v>0</v>
      </c>
    </row>
    <row r="176" spans="1:15" ht="17.25">
      <c r="A176" s="177">
        <v>74</v>
      </c>
      <c r="B176" s="108" t="s">
        <v>935</v>
      </c>
      <c r="C176" s="177" t="s">
        <v>1</v>
      </c>
      <c r="D176" s="177">
        <v>2</v>
      </c>
      <c r="E176" s="177">
        <v>46500</v>
      </c>
      <c r="F176" s="244">
        <f t="shared" si="18"/>
        <v>93</v>
      </c>
      <c r="G176" s="177"/>
      <c r="H176" s="177"/>
      <c r="I176" s="244">
        <f t="shared" si="22"/>
        <v>0</v>
      </c>
      <c r="J176" s="244"/>
      <c r="K176" s="177"/>
      <c r="L176" s="244">
        <f t="shared" si="20"/>
        <v>0</v>
      </c>
      <c r="M176" s="244"/>
      <c r="N176" s="244">
        <f t="shared" si="19"/>
        <v>0</v>
      </c>
      <c r="O176" s="244">
        <f t="shared" si="21"/>
        <v>0</v>
      </c>
    </row>
    <row r="177" spans="1:15" ht="18.75" customHeight="1">
      <c r="A177" s="177">
        <v>75</v>
      </c>
      <c r="B177" s="108" t="s">
        <v>936</v>
      </c>
      <c r="C177" s="177" t="s">
        <v>1</v>
      </c>
      <c r="D177" s="177">
        <v>10</v>
      </c>
      <c r="E177" s="177">
        <v>5300</v>
      </c>
      <c r="F177" s="244">
        <f t="shared" si="18"/>
        <v>53</v>
      </c>
      <c r="G177" s="177"/>
      <c r="H177" s="177"/>
      <c r="I177" s="244">
        <f t="shared" si="22"/>
        <v>0</v>
      </c>
      <c r="J177" s="244"/>
      <c r="K177" s="177"/>
      <c r="L177" s="244">
        <f t="shared" si="20"/>
        <v>0</v>
      </c>
      <c r="M177" s="244"/>
      <c r="N177" s="244">
        <f t="shared" si="19"/>
        <v>0</v>
      </c>
      <c r="O177" s="244">
        <f t="shared" si="21"/>
        <v>0</v>
      </c>
    </row>
    <row r="178" spans="1:15" ht="18.75" customHeight="1">
      <c r="A178" s="177">
        <v>76</v>
      </c>
      <c r="B178" s="108" t="s">
        <v>964</v>
      </c>
      <c r="C178" s="177" t="s">
        <v>1</v>
      </c>
      <c r="D178" s="177"/>
      <c r="E178" s="177"/>
      <c r="F178" s="244">
        <f t="shared" si="18"/>
        <v>0</v>
      </c>
      <c r="G178" s="177"/>
      <c r="H178" s="177"/>
      <c r="I178" s="244">
        <f t="shared" si="22"/>
        <v>0</v>
      </c>
      <c r="J178" s="244">
        <v>50</v>
      </c>
      <c r="K178" s="177">
        <v>30</v>
      </c>
      <c r="L178" s="244">
        <f t="shared" si="20"/>
        <v>1.5</v>
      </c>
      <c r="M178" s="244"/>
      <c r="N178" s="244">
        <f t="shared" si="19"/>
        <v>30</v>
      </c>
      <c r="O178" s="244">
        <f t="shared" si="21"/>
        <v>1.5</v>
      </c>
    </row>
    <row r="179" spans="1:15" ht="18.75" customHeight="1">
      <c r="A179" s="177">
        <v>77</v>
      </c>
      <c r="B179" s="108" t="s">
        <v>963</v>
      </c>
      <c r="C179" s="177" t="s">
        <v>1</v>
      </c>
      <c r="D179" s="177"/>
      <c r="E179" s="177"/>
      <c r="F179" s="244">
        <f t="shared" si="18"/>
        <v>0</v>
      </c>
      <c r="G179" s="177"/>
      <c r="H179" s="177"/>
      <c r="I179" s="244">
        <f t="shared" si="22"/>
        <v>0</v>
      </c>
      <c r="J179" s="244">
        <v>30</v>
      </c>
      <c r="K179" s="177">
        <v>30</v>
      </c>
      <c r="L179" s="244">
        <f t="shared" si="20"/>
        <v>0.9</v>
      </c>
      <c r="M179" s="244"/>
      <c r="N179" s="244">
        <f t="shared" si="19"/>
        <v>30</v>
      </c>
      <c r="O179" s="244">
        <f t="shared" si="21"/>
        <v>0.9</v>
      </c>
    </row>
    <row r="180" spans="1:15" ht="18.75" customHeight="1">
      <c r="A180" s="177">
        <v>78</v>
      </c>
      <c r="B180" s="108" t="s">
        <v>965</v>
      </c>
      <c r="C180" s="177" t="s">
        <v>1</v>
      </c>
      <c r="D180" s="177"/>
      <c r="E180" s="177"/>
      <c r="F180" s="244">
        <f t="shared" si="18"/>
        <v>0</v>
      </c>
      <c r="G180" s="177"/>
      <c r="H180" s="177"/>
      <c r="I180" s="244">
        <f t="shared" si="22"/>
        <v>0</v>
      </c>
      <c r="J180" s="244">
        <v>100</v>
      </c>
      <c r="K180" s="177">
        <v>20</v>
      </c>
      <c r="L180" s="244">
        <f t="shared" si="20"/>
        <v>2</v>
      </c>
      <c r="M180" s="244"/>
      <c r="N180" s="244">
        <f t="shared" si="19"/>
        <v>20</v>
      </c>
      <c r="O180" s="244">
        <f t="shared" si="21"/>
        <v>2</v>
      </c>
    </row>
    <row r="181" spans="1:15" ht="18.75" customHeight="1">
      <c r="A181" s="177"/>
      <c r="B181" s="108"/>
      <c r="C181" s="177"/>
      <c r="D181" s="177"/>
      <c r="E181" s="177"/>
      <c r="F181" s="244">
        <f t="shared" si="18"/>
        <v>0</v>
      </c>
      <c r="G181" s="177"/>
      <c r="H181" s="177"/>
      <c r="I181" s="244">
        <f t="shared" si="22"/>
        <v>0</v>
      </c>
      <c r="J181" s="244"/>
      <c r="K181" s="177"/>
      <c r="L181" s="244"/>
      <c r="M181" s="244"/>
      <c r="N181" s="244">
        <f t="shared" si="19"/>
        <v>0</v>
      </c>
      <c r="O181" s="244">
        <f t="shared" si="21"/>
        <v>0</v>
      </c>
    </row>
    <row r="182" spans="1:16" ht="17.25">
      <c r="A182" s="177"/>
      <c r="B182" s="249" t="s">
        <v>154</v>
      </c>
      <c r="C182" s="250">
        <v>4264</v>
      </c>
      <c r="D182" s="250"/>
      <c r="E182" s="250"/>
      <c r="F182" s="269">
        <f>F186+F187+F188+F189+F190+F191+F192+F193+F194</f>
        <v>7462.425</v>
      </c>
      <c r="G182" s="250"/>
      <c r="H182" s="250"/>
      <c r="I182" s="285">
        <f>SUM(I186:I192)</f>
        <v>8192</v>
      </c>
      <c r="J182" s="285"/>
      <c r="K182" s="250"/>
      <c r="L182" s="285">
        <f>SUM(L186:L193)</f>
        <v>8436.02</v>
      </c>
      <c r="M182" s="285">
        <f>J182-G182</f>
        <v>0</v>
      </c>
      <c r="N182" s="250"/>
      <c r="O182" s="285">
        <f>L182-I182</f>
        <v>244.02000000000044</v>
      </c>
      <c r="P182" s="280"/>
    </row>
    <row r="183" spans="1:15" ht="17.25">
      <c r="A183" s="177"/>
      <c r="B183" s="106" t="s">
        <v>78</v>
      </c>
      <c r="C183" s="177"/>
      <c r="D183" s="177"/>
      <c r="E183" s="177"/>
      <c r="F183" s="177"/>
      <c r="G183" s="177"/>
      <c r="H183" s="177"/>
      <c r="I183" s="244"/>
      <c r="J183" s="244"/>
      <c r="K183" s="177"/>
      <c r="L183" s="244"/>
      <c r="M183" s="244"/>
      <c r="N183" s="177"/>
      <c r="O183" s="244"/>
    </row>
    <row r="184" spans="1:15" ht="34.5">
      <c r="A184" s="177"/>
      <c r="B184" s="100" t="s">
        <v>186</v>
      </c>
      <c r="C184" s="177"/>
      <c r="D184" s="177"/>
      <c r="E184" s="177"/>
      <c r="F184" s="177"/>
      <c r="G184" s="177"/>
      <c r="H184" s="177"/>
      <c r="I184" s="244"/>
      <c r="J184" s="244"/>
      <c r="K184" s="177"/>
      <c r="L184" s="244"/>
      <c r="M184" s="244"/>
      <c r="N184" s="177"/>
      <c r="O184" s="244"/>
    </row>
    <row r="185" spans="1:15" ht="17.25">
      <c r="A185" s="177"/>
      <c r="B185" s="109"/>
      <c r="C185" s="177"/>
      <c r="D185" s="177"/>
      <c r="E185" s="177"/>
      <c r="F185" s="177"/>
      <c r="G185" s="177"/>
      <c r="H185" s="177"/>
      <c r="I185" s="244"/>
      <c r="J185" s="244"/>
      <c r="K185" s="177"/>
      <c r="L185" s="244"/>
      <c r="M185" s="244"/>
      <c r="N185" s="177"/>
      <c r="O185" s="244"/>
    </row>
    <row r="186" spans="1:16" ht="17.25">
      <c r="A186" s="177"/>
      <c r="B186" s="108" t="s">
        <v>416</v>
      </c>
      <c r="C186" s="177" t="s">
        <v>1</v>
      </c>
      <c r="D186" s="177">
        <v>18600</v>
      </c>
      <c r="E186" s="177">
        <v>377</v>
      </c>
      <c r="F186" s="268">
        <f>(D186*E186)/1000</f>
        <v>7012.2</v>
      </c>
      <c r="G186" s="177">
        <v>22750</v>
      </c>
      <c r="H186" s="177">
        <v>330</v>
      </c>
      <c r="I186" s="244">
        <f aca="true" t="shared" si="23" ref="I186:I192">G186*H186/1000</f>
        <v>7507.5</v>
      </c>
      <c r="J186" s="244">
        <v>17566</v>
      </c>
      <c r="K186" s="177">
        <v>470</v>
      </c>
      <c r="L186" s="244">
        <f>J186*K186/1000</f>
        <v>8256.02</v>
      </c>
      <c r="M186" s="244">
        <f aca="true" t="shared" si="24" ref="M186:N193">J186-G186</f>
        <v>-5184</v>
      </c>
      <c r="N186" s="244">
        <f t="shared" si="24"/>
        <v>140</v>
      </c>
      <c r="O186" s="244">
        <f aca="true" t="shared" si="25" ref="O186:O193">L186-I186</f>
        <v>748.5200000000004</v>
      </c>
      <c r="P186" s="280"/>
    </row>
    <row r="187" spans="1:15" ht="17.25">
      <c r="A187" s="177"/>
      <c r="B187" s="108" t="s">
        <v>417</v>
      </c>
      <c r="C187" s="177" t="s">
        <v>1</v>
      </c>
      <c r="D187" s="177">
        <v>4</v>
      </c>
      <c r="E187" s="177">
        <v>20000</v>
      </c>
      <c r="F187" s="268">
        <f>(D187*E187)/1000</f>
        <v>80</v>
      </c>
      <c r="G187" s="177">
        <v>8</v>
      </c>
      <c r="H187" s="177">
        <v>38000</v>
      </c>
      <c r="I187" s="244">
        <f t="shared" si="23"/>
        <v>304</v>
      </c>
      <c r="J187" s="244"/>
      <c r="K187" s="177"/>
      <c r="L187" s="244">
        <f aca="true" t="shared" si="26" ref="L187:L193">J187*K187/1000</f>
        <v>0</v>
      </c>
      <c r="M187" s="244">
        <f t="shared" si="24"/>
        <v>-8</v>
      </c>
      <c r="N187" s="244">
        <f t="shared" si="24"/>
        <v>-38000</v>
      </c>
      <c r="O187" s="244">
        <f t="shared" si="25"/>
        <v>-304</v>
      </c>
    </row>
    <row r="188" spans="1:15" ht="17.25">
      <c r="A188" s="177"/>
      <c r="B188" s="108" t="s">
        <v>417</v>
      </c>
      <c r="C188" s="177" t="s">
        <v>1</v>
      </c>
      <c r="D188" s="177">
        <v>1</v>
      </c>
      <c r="E188" s="177">
        <v>34000</v>
      </c>
      <c r="F188" s="268">
        <f aca="true" t="shared" si="27" ref="F188:F194">(D188*E188)/1000</f>
        <v>34</v>
      </c>
      <c r="G188" s="177">
        <v>4</v>
      </c>
      <c r="H188" s="177">
        <v>35000</v>
      </c>
      <c r="I188" s="244">
        <f t="shared" si="23"/>
        <v>140</v>
      </c>
      <c r="J188" s="244"/>
      <c r="K188" s="177"/>
      <c r="L188" s="244">
        <f t="shared" si="26"/>
        <v>0</v>
      </c>
      <c r="M188" s="244">
        <f t="shared" si="24"/>
        <v>-4</v>
      </c>
      <c r="N188" s="244">
        <f t="shared" si="24"/>
        <v>-35000</v>
      </c>
      <c r="O188" s="244">
        <f t="shared" si="25"/>
        <v>-140</v>
      </c>
    </row>
    <row r="189" spans="1:15" ht="17.25">
      <c r="A189" s="177"/>
      <c r="B189" s="108" t="s">
        <v>417</v>
      </c>
      <c r="C189" s="177" t="s">
        <v>1</v>
      </c>
      <c r="D189" s="177">
        <v>1</v>
      </c>
      <c r="E189" s="177">
        <v>18000</v>
      </c>
      <c r="F189" s="268">
        <f t="shared" si="27"/>
        <v>18</v>
      </c>
      <c r="G189" s="177">
        <v>4</v>
      </c>
      <c r="H189" s="177">
        <v>35000</v>
      </c>
      <c r="I189" s="244">
        <f t="shared" si="23"/>
        <v>140</v>
      </c>
      <c r="J189" s="244"/>
      <c r="K189" s="177"/>
      <c r="L189" s="244">
        <f t="shared" si="26"/>
        <v>0</v>
      </c>
      <c r="M189" s="244">
        <f t="shared" si="24"/>
        <v>-4</v>
      </c>
      <c r="N189" s="244">
        <f t="shared" si="24"/>
        <v>-35000</v>
      </c>
      <c r="O189" s="244">
        <f t="shared" si="25"/>
        <v>-140</v>
      </c>
    </row>
    <row r="190" spans="1:15" ht="17.25">
      <c r="A190" s="177">
        <v>7</v>
      </c>
      <c r="B190" s="108" t="s">
        <v>417</v>
      </c>
      <c r="C190" s="177"/>
      <c r="D190" s="177">
        <v>4</v>
      </c>
      <c r="E190" s="177">
        <v>25000</v>
      </c>
      <c r="F190" s="268">
        <f t="shared" si="27"/>
        <v>100</v>
      </c>
      <c r="G190" s="177"/>
      <c r="H190" s="177"/>
      <c r="I190" s="244"/>
      <c r="J190" s="244">
        <v>6</v>
      </c>
      <c r="K190" s="177">
        <v>30000</v>
      </c>
      <c r="L190" s="244">
        <f t="shared" si="26"/>
        <v>180</v>
      </c>
      <c r="M190" s="244">
        <f>J190-G190</f>
        <v>6</v>
      </c>
      <c r="N190" s="244">
        <f>K190-H190</f>
        <v>30000</v>
      </c>
      <c r="O190" s="244">
        <f>L190-I190</f>
        <v>180</v>
      </c>
    </row>
    <row r="191" spans="1:15" ht="17.25">
      <c r="A191" s="177"/>
      <c r="B191" s="108" t="s">
        <v>418</v>
      </c>
      <c r="C191" s="177" t="s">
        <v>1</v>
      </c>
      <c r="D191" s="177"/>
      <c r="E191" s="177"/>
      <c r="F191" s="268">
        <f t="shared" si="27"/>
        <v>0</v>
      </c>
      <c r="G191" s="177">
        <v>2</v>
      </c>
      <c r="H191" s="177">
        <v>30000</v>
      </c>
      <c r="I191" s="244">
        <f t="shared" si="23"/>
        <v>60</v>
      </c>
      <c r="J191" s="244"/>
      <c r="K191" s="177"/>
      <c r="L191" s="244">
        <f t="shared" si="26"/>
        <v>0</v>
      </c>
      <c r="M191" s="244">
        <f t="shared" si="24"/>
        <v>-2</v>
      </c>
      <c r="N191" s="244">
        <f t="shared" si="24"/>
        <v>-30000</v>
      </c>
      <c r="O191" s="244">
        <f t="shared" si="25"/>
        <v>-60</v>
      </c>
    </row>
    <row r="192" spans="1:15" ht="17.25">
      <c r="A192" s="177"/>
      <c r="B192" s="108" t="s">
        <v>418</v>
      </c>
      <c r="C192" s="177" t="s">
        <v>1</v>
      </c>
      <c r="D192" s="177"/>
      <c r="E192" s="177"/>
      <c r="F192" s="268">
        <f t="shared" si="27"/>
        <v>0</v>
      </c>
      <c r="G192" s="177">
        <v>1</v>
      </c>
      <c r="H192" s="177">
        <v>40500</v>
      </c>
      <c r="I192" s="244">
        <f t="shared" si="23"/>
        <v>40.5</v>
      </c>
      <c r="J192" s="244">
        <v>0</v>
      </c>
      <c r="K192" s="177">
        <v>0</v>
      </c>
      <c r="L192" s="244">
        <f t="shared" si="26"/>
        <v>0</v>
      </c>
      <c r="M192" s="244">
        <f t="shared" si="24"/>
        <v>-1</v>
      </c>
      <c r="N192" s="244">
        <f t="shared" si="24"/>
        <v>-40500</v>
      </c>
      <c r="O192" s="244">
        <f t="shared" si="25"/>
        <v>-40.5</v>
      </c>
    </row>
    <row r="193" spans="1:15" ht="17.25">
      <c r="A193" s="177"/>
      <c r="B193" s="108" t="s">
        <v>937</v>
      </c>
      <c r="C193" s="177"/>
      <c r="D193" s="177">
        <v>32.5</v>
      </c>
      <c r="E193" s="177">
        <v>5730</v>
      </c>
      <c r="F193" s="268">
        <f t="shared" si="27"/>
        <v>186.225</v>
      </c>
      <c r="G193" s="177"/>
      <c r="H193" s="177"/>
      <c r="I193" s="244"/>
      <c r="J193" s="244"/>
      <c r="K193" s="177"/>
      <c r="L193" s="244">
        <f t="shared" si="26"/>
        <v>0</v>
      </c>
      <c r="M193" s="244">
        <f t="shared" si="24"/>
        <v>0</v>
      </c>
      <c r="N193" s="244">
        <f t="shared" si="24"/>
        <v>0</v>
      </c>
      <c r="O193" s="244">
        <f t="shared" si="25"/>
        <v>0</v>
      </c>
    </row>
    <row r="194" spans="1:15" ht="17.25">
      <c r="A194" s="177"/>
      <c r="B194" s="108" t="s">
        <v>938</v>
      </c>
      <c r="C194" s="177"/>
      <c r="D194" s="177">
        <v>8</v>
      </c>
      <c r="E194" s="177">
        <v>4000</v>
      </c>
      <c r="F194" s="268">
        <f t="shared" si="27"/>
        <v>32</v>
      </c>
      <c r="G194" s="177"/>
      <c r="H194" s="177"/>
      <c r="I194" s="244"/>
      <c r="J194" s="244"/>
      <c r="K194" s="177"/>
      <c r="L194" s="244"/>
      <c r="M194" s="244"/>
      <c r="N194" s="244"/>
      <c r="O194" s="244"/>
    </row>
    <row r="195" spans="1:16" ht="17.25">
      <c r="A195" s="177"/>
      <c r="B195" s="250" t="s">
        <v>419</v>
      </c>
      <c r="C195" s="250">
        <v>4267</v>
      </c>
      <c r="D195" s="250"/>
      <c r="E195" s="250"/>
      <c r="F195" s="269">
        <f>F199+F200+F201+F202+F203+F204+F205+F206+F207+F208+F209+F210+F211+F212+F213+F214+F215+F216+F217+F218+F219+F220+F221+F222+F223+F224+F225+F226+F227+F228+F229+F230+F231+F232+F233+F234+F235+F236+F237+F238+F239+F240+F241+F242+F243+F244+F245+F246+F247+F248</f>
        <v>946.5399999999998</v>
      </c>
      <c r="G195" s="250"/>
      <c r="H195" s="285"/>
      <c r="I195" s="285">
        <f>SUM(I199:I229)</f>
        <v>1514.04</v>
      </c>
      <c r="J195" s="250"/>
      <c r="K195" s="285"/>
      <c r="L195" s="285">
        <f>SUM(L199:L254)</f>
        <v>1636</v>
      </c>
      <c r="M195" s="285"/>
      <c r="N195" s="285"/>
      <c r="O195" s="285">
        <f>SUM(O199:O254)</f>
        <v>121.96000000000001</v>
      </c>
      <c r="P195" s="312"/>
    </row>
    <row r="196" spans="1:15" ht="17.25">
      <c r="A196" s="177"/>
      <c r="B196" s="106" t="s">
        <v>78</v>
      </c>
      <c r="C196" s="177"/>
      <c r="D196" s="177"/>
      <c r="E196" s="177"/>
      <c r="F196" s="177"/>
      <c r="G196" s="177"/>
      <c r="H196" s="177"/>
      <c r="I196" s="244"/>
      <c r="J196" s="244"/>
      <c r="K196" s="177"/>
      <c r="L196" s="244"/>
      <c r="M196" s="244"/>
      <c r="N196" s="177"/>
      <c r="O196" s="244"/>
    </row>
    <row r="197" spans="1:16" ht="34.5">
      <c r="A197" s="177"/>
      <c r="B197" s="100" t="s">
        <v>186</v>
      </c>
      <c r="C197" s="177"/>
      <c r="D197" s="177"/>
      <c r="E197" s="177"/>
      <c r="F197" s="177"/>
      <c r="G197" s="177"/>
      <c r="H197" s="177"/>
      <c r="I197" s="244"/>
      <c r="J197" s="244"/>
      <c r="K197" s="177"/>
      <c r="L197" s="244"/>
      <c r="M197" s="244"/>
      <c r="N197" s="177"/>
      <c r="O197" s="244"/>
      <c r="P197" s="280"/>
    </row>
    <row r="198" spans="1:15" ht="17.25">
      <c r="A198" s="177"/>
      <c r="B198" s="109"/>
      <c r="C198" s="177"/>
      <c r="D198" s="177"/>
      <c r="E198" s="177"/>
      <c r="F198" s="177"/>
      <c r="G198" s="177"/>
      <c r="H198" s="177"/>
      <c r="I198" s="244"/>
      <c r="J198" s="244"/>
      <c r="K198" s="177"/>
      <c r="L198" s="244"/>
      <c r="M198" s="244"/>
      <c r="N198" s="177"/>
      <c r="O198" s="244"/>
    </row>
    <row r="199" spans="1:15" ht="17.25">
      <c r="A199" s="177">
        <v>1</v>
      </c>
      <c r="B199" s="108" t="s">
        <v>420</v>
      </c>
      <c r="C199" s="177" t="s">
        <v>1</v>
      </c>
      <c r="D199" s="177"/>
      <c r="E199" s="177"/>
      <c r="F199" s="244">
        <f>(D199*E199)/1000</f>
        <v>0</v>
      </c>
      <c r="G199" s="244"/>
      <c r="H199" s="177"/>
      <c r="I199" s="244">
        <f aca="true" t="shared" si="28" ref="I199:I229">G199*H199/1000</f>
        <v>0</v>
      </c>
      <c r="J199" s="244">
        <v>20</v>
      </c>
      <c r="K199" s="177">
        <v>280</v>
      </c>
      <c r="L199" s="244">
        <f aca="true" t="shared" si="29" ref="L199:L254">J199*K199/1000</f>
        <v>5.6</v>
      </c>
      <c r="M199" s="244">
        <f aca="true" t="shared" si="30" ref="M199:N265">J199-G199</f>
        <v>20</v>
      </c>
      <c r="N199" s="244">
        <f t="shared" si="30"/>
        <v>280</v>
      </c>
      <c r="O199" s="244">
        <f aca="true" t="shared" si="31" ref="O199:O269">L199-I199</f>
        <v>5.6</v>
      </c>
    </row>
    <row r="200" spans="1:15" ht="17.25">
      <c r="A200" s="177">
        <v>2</v>
      </c>
      <c r="B200" s="107" t="s">
        <v>421</v>
      </c>
      <c r="C200" s="177" t="s">
        <v>1</v>
      </c>
      <c r="D200" s="177">
        <v>50</v>
      </c>
      <c r="E200" s="177">
        <v>410</v>
      </c>
      <c r="F200" s="244">
        <f aca="true" t="shared" si="32" ref="F200:F245">(D200*E200)/1000</f>
        <v>20.5</v>
      </c>
      <c r="G200" s="244">
        <v>50</v>
      </c>
      <c r="H200" s="177">
        <v>600</v>
      </c>
      <c r="I200" s="244">
        <f t="shared" si="28"/>
        <v>30</v>
      </c>
      <c r="J200" s="244">
        <v>50</v>
      </c>
      <c r="K200" s="177">
        <v>600</v>
      </c>
      <c r="L200" s="244">
        <f t="shared" si="29"/>
        <v>30</v>
      </c>
      <c r="M200" s="244">
        <f t="shared" si="30"/>
        <v>0</v>
      </c>
      <c r="N200" s="244">
        <f t="shared" si="30"/>
        <v>0</v>
      </c>
      <c r="O200" s="244">
        <f t="shared" si="31"/>
        <v>0</v>
      </c>
    </row>
    <row r="201" spans="1:15" ht="17.25">
      <c r="A201" s="177">
        <v>3</v>
      </c>
      <c r="B201" s="108" t="s">
        <v>422</v>
      </c>
      <c r="C201" s="177" t="s">
        <v>1</v>
      </c>
      <c r="D201" s="177">
        <v>10</v>
      </c>
      <c r="E201" s="177">
        <v>2400</v>
      </c>
      <c r="F201" s="244">
        <f t="shared" si="32"/>
        <v>24</v>
      </c>
      <c r="G201" s="244">
        <v>30</v>
      </c>
      <c r="H201" s="177">
        <v>2400</v>
      </c>
      <c r="I201" s="244">
        <f t="shared" si="28"/>
        <v>72</v>
      </c>
      <c r="J201" s="244">
        <v>25</v>
      </c>
      <c r="K201" s="177">
        <v>2700</v>
      </c>
      <c r="L201" s="244">
        <f t="shared" si="29"/>
        <v>67.5</v>
      </c>
      <c r="M201" s="244">
        <f t="shared" si="30"/>
        <v>-5</v>
      </c>
      <c r="N201" s="244">
        <f t="shared" si="30"/>
        <v>300</v>
      </c>
      <c r="O201" s="244">
        <f t="shared" si="31"/>
        <v>-4.5</v>
      </c>
    </row>
    <row r="202" spans="1:15" ht="17.25">
      <c r="A202" s="177">
        <v>4</v>
      </c>
      <c r="B202" s="108" t="s">
        <v>422</v>
      </c>
      <c r="C202" s="177" t="s">
        <v>1</v>
      </c>
      <c r="D202" s="177"/>
      <c r="E202" s="177"/>
      <c r="F202" s="244">
        <f t="shared" si="32"/>
        <v>0</v>
      </c>
      <c r="G202" s="244"/>
      <c r="H202" s="177"/>
      <c r="I202" s="244">
        <f t="shared" si="28"/>
        <v>0</v>
      </c>
      <c r="J202" s="244">
        <v>10</v>
      </c>
      <c r="K202" s="177">
        <v>1200</v>
      </c>
      <c r="L202" s="244">
        <f t="shared" si="29"/>
        <v>12</v>
      </c>
      <c r="M202" s="244">
        <f t="shared" si="30"/>
        <v>10</v>
      </c>
      <c r="N202" s="244">
        <f t="shared" si="30"/>
        <v>1200</v>
      </c>
      <c r="O202" s="244">
        <f t="shared" si="31"/>
        <v>12</v>
      </c>
    </row>
    <row r="203" spans="1:15" ht="17.25">
      <c r="A203" s="177">
        <v>5</v>
      </c>
      <c r="B203" s="108" t="s">
        <v>423</v>
      </c>
      <c r="C203" s="177" t="s">
        <v>1</v>
      </c>
      <c r="D203" s="177"/>
      <c r="E203" s="177"/>
      <c r="F203" s="244">
        <f t="shared" si="32"/>
        <v>0</v>
      </c>
      <c r="G203" s="244">
        <v>30</v>
      </c>
      <c r="H203" s="177">
        <v>1300</v>
      </c>
      <c r="I203" s="244">
        <f t="shared" si="28"/>
        <v>39</v>
      </c>
      <c r="J203" s="244">
        <v>30</v>
      </c>
      <c r="K203" s="177">
        <v>1300</v>
      </c>
      <c r="L203" s="244">
        <f t="shared" si="29"/>
        <v>39</v>
      </c>
      <c r="M203" s="244">
        <f t="shared" si="30"/>
        <v>0</v>
      </c>
      <c r="N203" s="244">
        <f t="shared" si="30"/>
        <v>0</v>
      </c>
      <c r="O203" s="244">
        <f t="shared" si="31"/>
        <v>0</v>
      </c>
    </row>
    <row r="204" spans="1:15" ht="17.25">
      <c r="A204" s="177">
        <v>6</v>
      </c>
      <c r="B204" s="108" t="s">
        <v>424</v>
      </c>
      <c r="C204" s="177" t="s">
        <v>1</v>
      </c>
      <c r="D204" s="177">
        <v>40</v>
      </c>
      <c r="E204" s="177">
        <v>740</v>
      </c>
      <c r="F204" s="244">
        <f t="shared" si="32"/>
        <v>29.6</v>
      </c>
      <c r="G204" s="244">
        <v>30</v>
      </c>
      <c r="H204" s="177">
        <v>1100</v>
      </c>
      <c r="I204" s="244">
        <f t="shared" si="28"/>
        <v>33</v>
      </c>
      <c r="J204" s="244">
        <v>30</v>
      </c>
      <c r="K204" s="177">
        <v>1200</v>
      </c>
      <c r="L204" s="244">
        <f t="shared" si="29"/>
        <v>36</v>
      </c>
      <c r="M204" s="244">
        <f t="shared" si="30"/>
        <v>0</v>
      </c>
      <c r="N204" s="244">
        <f t="shared" si="30"/>
        <v>100</v>
      </c>
      <c r="O204" s="244">
        <f t="shared" si="31"/>
        <v>3</v>
      </c>
    </row>
    <row r="205" spans="1:15" ht="17.25">
      <c r="A205" s="177">
        <v>7</v>
      </c>
      <c r="B205" s="279" t="s">
        <v>425</v>
      </c>
      <c r="C205" s="177" t="s">
        <v>1</v>
      </c>
      <c r="D205" s="177">
        <v>300</v>
      </c>
      <c r="E205" s="177">
        <v>155</v>
      </c>
      <c r="F205" s="244">
        <f t="shared" si="32"/>
        <v>46.5</v>
      </c>
      <c r="G205" s="244">
        <v>1200</v>
      </c>
      <c r="H205" s="177">
        <v>180</v>
      </c>
      <c r="I205" s="244">
        <f t="shared" si="28"/>
        <v>216</v>
      </c>
      <c r="J205" s="244">
        <v>900</v>
      </c>
      <c r="K205" s="177">
        <v>170</v>
      </c>
      <c r="L205" s="244">
        <f t="shared" si="29"/>
        <v>153</v>
      </c>
      <c r="M205" s="244">
        <f t="shared" si="30"/>
        <v>-300</v>
      </c>
      <c r="N205" s="244">
        <f t="shared" si="30"/>
        <v>-10</v>
      </c>
      <c r="O205" s="244">
        <f t="shared" si="31"/>
        <v>-63</v>
      </c>
    </row>
    <row r="206" spans="1:15" ht="17.25">
      <c r="A206" s="177">
        <v>8</v>
      </c>
      <c r="B206" s="279" t="s">
        <v>943</v>
      </c>
      <c r="C206" s="177" t="s">
        <v>1</v>
      </c>
      <c r="D206" s="177">
        <v>0</v>
      </c>
      <c r="E206" s="177">
        <v>0</v>
      </c>
      <c r="F206" s="244">
        <f t="shared" si="32"/>
        <v>0</v>
      </c>
      <c r="G206" s="244">
        <v>24</v>
      </c>
      <c r="H206" s="177">
        <v>585</v>
      </c>
      <c r="I206" s="244">
        <f t="shared" si="28"/>
        <v>14.04</v>
      </c>
      <c r="J206" s="244">
        <v>32</v>
      </c>
      <c r="K206" s="177">
        <v>200</v>
      </c>
      <c r="L206" s="244">
        <f t="shared" si="29"/>
        <v>6.4</v>
      </c>
      <c r="M206" s="244">
        <f t="shared" si="30"/>
        <v>8</v>
      </c>
      <c r="N206" s="244">
        <f t="shared" si="30"/>
        <v>-385</v>
      </c>
      <c r="O206" s="244">
        <f t="shared" si="31"/>
        <v>-7.639999999999999</v>
      </c>
    </row>
    <row r="207" spans="1:15" ht="17.25">
      <c r="A207" s="177">
        <v>9</v>
      </c>
      <c r="B207" s="314" t="s">
        <v>426</v>
      </c>
      <c r="C207" s="177" t="s">
        <v>1</v>
      </c>
      <c r="D207" s="177">
        <v>100</v>
      </c>
      <c r="E207" s="177">
        <v>600</v>
      </c>
      <c r="F207" s="244">
        <f t="shared" si="32"/>
        <v>60</v>
      </c>
      <c r="G207" s="244">
        <v>100</v>
      </c>
      <c r="H207" s="177">
        <v>650</v>
      </c>
      <c r="I207" s="244">
        <f t="shared" si="28"/>
        <v>65</v>
      </c>
      <c r="J207" s="244">
        <v>50</v>
      </c>
      <c r="K207" s="177">
        <v>700</v>
      </c>
      <c r="L207" s="244">
        <f t="shared" si="29"/>
        <v>35</v>
      </c>
      <c r="M207" s="244">
        <f t="shared" si="30"/>
        <v>-50</v>
      </c>
      <c r="N207" s="244">
        <f t="shared" si="30"/>
        <v>50</v>
      </c>
      <c r="O207" s="244">
        <f t="shared" si="31"/>
        <v>-30</v>
      </c>
    </row>
    <row r="208" spans="1:15" ht="17.25">
      <c r="A208" s="177">
        <v>10</v>
      </c>
      <c r="B208" s="315" t="s">
        <v>427</v>
      </c>
      <c r="C208" s="177" t="s">
        <v>1</v>
      </c>
      <c r="D208" s="177"/>
      <c r="E208" s="177"/>
      <c r="F208" s="244">
        <f t="shared" si="32"/>
        <v>0</v>
      </c>
      <c r="G208" s="244">
        <v>350</v>
      </c>
      <c r="H208" s="177">
        <v>380</v>
      </c>
      <c r="I208" s="244">
        <f t="shared" si="28"/>
        <v>133</v>
      </c>
      <c r="J208" s="244">
        <v>300</v>
      </c>
      <c r="K208" s="177">
        <v>400</v>
      </c>
      <c r="L208" s="244">
        <f t="shared" si="29"/>
        <v>120</v>
      </c>
      <c r="M208" s="244">
        <f t="shared" si="30"/>
        <v>-50</v>
      </c>
      <c r="N208" s="244">
        <f t="shared" si="30"/>
        <v>20</v>
      </c>
      <c r="O208" s="244">
        <f t="shared" si="31"/>
        <v>-13</v>
      </c>
    </row>
    <row r="209" spans="1:15" ht="17.25">
      <c r="A209" s="177">
        <v>11</v>
      </c>
      <c r="B209" s="108" t="s">
        <v>428</v>
      </c>
      <c r="C209" s="177" t="s">
        <v>1</v>
      </c>
      <c r="D209" s="177">
        <v>1500</v>
      </c>
      <c r="E209" s="177">
        <v>10</v>
      </c>
      <c r="F209" s="244">
        <f t="shared" si="32"/>
        <v>15</v>
      </c>
      <c r="G209" s="244">
        <v>1500</v>
      </c>
      <c r="H209" s="177">
        <v>10</v>
      </c>
      <c r="I209" s="244">
        <f t="shared" si="28"/>
        <v>15</v>
      </c>
      <c r="J209" s="244">
        <v>1500</v>
      </c>
      <c r="K209" s="177">
        <v>10</v>
      </c>
      <c r="L209" s="244">
        <f t="shared" si="29"/>
        <v>15</v>
      </c>
      <c r="M209" s="244">
        <f t="shared" si="30"/>
        <v>0</v>
      </c>
      <c r="N209" s="244">
        <f t="shared" si="30"/>
        <v>0</v>
      </c>
      <c r="O209" s="244">
        <f t="shared" si="31"/>
        <v>0</v>
      </c>
    </row>
    <row r="210" spans="1:15" ht="17.25">
      <c r="A210" s="177">
        <v>12</v>
      </c>
      <c r="B210" s="108" t="s">
        <v>429</v>
      </c>
      <c r="C210" s="177" t="s">
        <v>1</v>
      </c>
      <c r="D210" s="177"/>
      <c r="E210" s="177"/>
      <c r="F210" s="244">
        <f t="shared" si="32"/>
        <v>0</v>
      </c>
      <c r="G210" s="244">
        <v>30</v>
      </c>
      <c r="H210" s="177">
        <v>700</v>
      </c>
      <c r="I210" s="244">
        <f t="shared" si="28"/>
        <v>21</v>
      </c>
      <c r="J210" s="244">
        <v>30</v>
      </c>
      <c r="K210" s="177">
        <v>700</v>
      </c>
      <c r="L210" s="244">
        <f t="shared" si="29"/>
        <v>21</v>
      </c>
      <c r="M210" s="244">
        <f t="shared" si="30"/>
        <v>0</v>
      </c>
      <c r="N210" s="244">
        <f t="shared" si="30"/>
        <v>0</v>
      </c>
      <c r="O210" s="244">
        <f t="shared" si="31"/>
        <v>0</v>
      </c>
    </row>
    <row r="211" spans="1:15" ht="17.25">
      <c r="A211" s="177">
        <v>13</v>
      </c>
      <c r="B211" s="101" t="s">
        <v>430</v>
      </c>
      <c r="C211" s="177" t="s">
        <v>1</v>
      </c>
      <c r="D211" s="177">
        <v>30</v>
      </c>
      <c r="E211" s="177">
        <v>180</v>
      </c>
      <c r="F211" s="244">
        <f t="shared" si="32"/>
        <v>5.4</v>
      </c>
      <c r="G211" s="244">
        <v>30</v>
      </c>
      <c r="H211" s="177">
        <v>250</v>
      </c>
      <c r="I211" s="244">
        <f t="shared" si="28"/>
        <v>7.5</v>
      </c>
      <c r="J211" s="244">
        <v>40</v>
      </c>
      <c r="K211" s="177">
        <v>200</v>
      </c>
      <c r="L211" s="244">
        <f t="shared" si="29"/>
        <v>8</v>
      </c>
      <c r="M211" s="244">
        <f t="shared" si="30"/>
        <v>10</v>
      </c>
      <c r="N211" s="244">
        <f t="shared" si="30"/>
        <v>-50</v>
      </c>
      <c r="O211" s="244">
        <f t="shared" si="31"/>
        <v>0.5</v>
      </c>
    </row>
    <row r="212" spans="1:15" ht="17.25">
      <c r="A212" s="177">
        <v>14</v>
      </c>
      <c r="B212" s="108" t="s">
        <v>431</v>
      </c>
      <c r="C212" s="177" t="s">
        <v>1</v>
      </c>
      <c r="D212" s="177">
        <v>16</v>
      </c>
      <c r="E212" s="177">
        <v>610</v>
      </c>
      <c r="F212" s="244">
        <f t="shared" si="32"/>
        <v>9.76</v>
      </c>
      <c r="G212" s="244">
        <v>15</v>
      </c>
      <c r="H212" s="177">
        <v>1100</v>
      </c>
      <c r="I212" s="244">
        <f t="shared" si="28"/>
        <v>16.5</v>
      </c>
      <c r="J212" s="244">
        <v>16</v>
      </c>
      <c r="K212" s="177">
        <v>1000</v>
      </c>
      <c r="L212" s="244">
        <f t="shared" si="29"/>
        <v>16</v>
      </c>
      <c r="M212" s="244">
        <f t="shared" si="30"/>
        <v>1</v>
      </c>
      <c r="N212" s="244">
        <f t="shared" si="30"/>
        <v>-100</v>
      </c>
      <c r="O212" s="244">
        <f t="shared" si="31"/>
        <v>-0.5</v>
      </c>
    </row>
    <row r="213" spans="1:15" ht="17.25">
      <c r="A213" s="177">
        <v>15</v>
      </c>
      <c r="B213" s="108" t="s">
        <v>432</v>
      </c>
      <c r="C213" s="177" t="s">
        <v>1</v>
      </c>
      <c r="D213" s="177"/>
      <c r="E213" s="177"/>
      <c r="F213" s="244">
        <f t="shared" si="32"/>
        <v>0</v>
      </c>
      <c r="G213" s="244">
        <v>30</v>
      </c>
      <c r="H213" s="177">
        <v>300</v>
      </c>
      <c r="I213" s="244">
        <f t="shared" si="28"/>
        <v>9</v>
      </c>
      <c r="J213" s="244">
        <v>40</v>
      </c>
      <c r="K213" s="177">
        <v>300</v>
      </c>
      <c r="L213" s="244">
        <f t="shared" si="29"/>
        <v>12</v>
      </c>
      <c r="M213" s="244">
        <f t="shared" si="30"/>
        <v>10</v>
      </c>
      <c r="N213" s="244">
        <f t="shared" si="30"/>
        <v>0</v>
      </c>
      <c r="O213" s="244">
        <f t="shared" si="31"/>
        <v>3</v>
      </c>
    </row>
    <row r="214" spans="1:15" ht="17.25">
      <c r="A214" s="177">
        <v>16</v>
      </c>
      <c r="B214" s="108" t="s">
        <v>433</v>
      </c>
      <c r="C214" s="177" t="s">
        <v>1</v>
      </c>
      <c r="D214" s="177">
        <v>20</v>
      </c>
      <c r="E214" s="177">
        <v>11000</v>
      </c>
      <c r="F214" s="244">
        <f t="shared" si="32"/>
        <v>220</v>
      </c>
      <c r="G214" s="244">
        <v>10</v>
      </c>
      <c r="H214" s="177">
        <v>12000</v>
      </c>
      <c r="I214" s="244">
        <f t="shared" si="28"/>
        <v>120</v>
      </c>
      <c r="J214" s="244">
        <v>10</v>
      </c>
      <c r="K214" s="177">
        <v>12000</v>
      </c>
      <c r="L214" s="244">
        <f t="shared" si="29"/>
        <v>120</v>
      </c>
      <c r="M214" s="244">
        <f t="shared" si="30"/>
        <v>0</v>
      </c>
      <c r="N214" s="244">
        <f t="shared" si="30"/>
        <v>0</v>
      </c>
      <c r="O214" s="244">
        <f t="shared" si="31"/>
        <v>0</v>
      </c>
    </row>
    <row r="215" spans="1:15" ht="17.25">
      <c r="A215" s="177">
        <v>17</v>
      </c>
      <c r="B215" s="108" t="s">
        <v>433</v>
      </c>
      <c r="C215" s="177" t="s">
        <v>1</v>
      </c>
      <c r="D215" s="177"/>
      <c r="E215" s="177"/>
      <c r="F215" s="244">
        <f t="shared" si="32"/>
        <v>0</v>
      </c>
      <c r="G215" s="244">
        <v>10</v>
      </c>
      <c r="H215" s="177">
        <v>23000</v>
      </c>
      <c r="I215" s="244">
        <f t="shared" si="28"/>
        <v>230</v>
      </c>
      <c r="J215" s="244">
        <v>6</v>
      </c>
      <c r="K215" s="177">
        <v>23000</v>
      </c>
      <c r="L215" s="244">
        <f t="shared" si="29"/>
        <v>138</v>
      </c>
      <c r="M215" s="244">
        <f t="shared" si="30"/>
        <v>-4</v>
      </c>
      <c r="N215" s="244">
        <f t="shared" si="30"/>
        <v>0</v>
      </c>
      <c r="O215" s="244">
        <f t="shared" si="31"/>
        <v>-92</v>
      </c>
    </row>
    <row r="216" spans="1:15" ht="17.25">
      <c r="A216" s="177">
        <v>18</v>
      </c>
      <c r="B216" s="108" t="s">
        <v>967</v>
      </c>
      <c r="C216" s="177" t="s">
        <v>1</v>
      </c>
      <c r="D216" s="177">
        <v>50</v>
      </c>
      <c r="E216" s="177">
        <v>1000</v>
      </c>
      <c r="F216" s="244">
        <f t="shared" si="32"/>
        <v>50</v>
      </c>
      <c r="G216" s="244">
        <v>20</v>
      </c>
      <c r="H216" s="177">
        <v>1000</v>
      </c>
      <c r="I216" s="244">
        <f t="shared" si="28"/>
        <v>20</v>
      </c>
      <c r="J216" s="244">
        <v>40</v>
      </c>
      <c r="K216" s="177">
        <v>1000</v>
      </c>
      <c r="L216" s="244">
        <f t="shared" si="29"/>
        <v>40</v>
      </c>
      <c r="M216" s="244">
        <f t="shared" si="30"/>
        <v>20</v>
      </c>
      <c r="N216" s="244">
        <f t="shared" si="30"/>
        <v>0</v>
      </c>
      <c r="O216" s="244">
        <f t="shared" si="31"/>
        <v>20</v>
      </c>
    </row>
    <row r="217" spans="1:15" ht="17.25">
      <c r="A217" s="177">
        <v>19</v>
      </c>
      <c r="B217" s="108" t="s">
        <v>968</v>
      </c>
      <c r="C217" s="177" t="s">
        <v>1</v>
      </c>
      <c r="D217" s="177"/>
      <c r="E217" s="177"/>
      <c r="F217" s="244">
        <f t="shared" si="32"/>
        <v>0</v>
      </c>
      <c r="G217" s="244">
        <v>30</v>
      </c>
      <c r="H217" s="177">
        <v>1000</v>
      </c>
      <c r="I217" s="244">
        <f t="shared" si="28"/>
        <v>30</v>
      </c>
      <c r="J217" s="244">
        <v>40</v>
      </c>
      <c r="K217" s="177">
        <v>700</v>
      </c>
      <c r="L217" s="244">
        <f>J217*K217/1000</f>
        <v>28</v>
      </c>
      <c r="M217" s="244">
        <f>J217-G217</f>
        <v>10</v>
      </c>
      <c r="N217" s="244">
        <f t="shared" si="30"/>
        <v>-300</v>
      </c>
      <c r="O217" s="244">
        <f>L217-I217</f>
        <v>-2</v>
      </c>
    </row>
    <row r="218" spans="1:15" ht="17.25">
      <c r="A218" s="177">
        <v>20</v>
      </c>
      <c r="B218" s="108" t="s">
        <v>811</v>
      </c>
      <c r="C218" s="177"/>
      <c r="D218" s="177"/>
      <c r="E218" s="177"/>
      <c r="F218" s="244">
        <f t="shared" si="32"/>
        <v>0</v>
      </c>
      <c r="G218" s="244">
        <v>10</v>
      </c>
      <c r="H218" s="177">
        <v>500</v>
      </c>
      <c r="I218" s="244">
        <f t="shared" si="28"/>
        <v>5</v>
      </c>
      <c r="J218" s="244">
        <v>10</v>
      </c>
      <c r="K218" s="177">
        <v>600</v>
      </c>
      <c r="L218" s="244">
        <f>J218*K218/1000</f>
        <v>6</v>
      </c>
      <c r="M218" s="244">
        <f>J218-G218</f>
        <v>0</v>
      </c>
      <c r="N218" s="244">
        <f t="shared" si="30"/>
        <v>100</v>
      </c>
      <c r="O218" s="244">
        <f>L218-I218</f>
        <v>1</v>
      </c>
    </row>
    <row r="219" spans="1:15" ht="34.5">
      <c r="A219" s="177">
        <v>21</v>
      </c>
      <c r="B219" s="108" t="s">
        <v>969</v>
      </c>
      <c r="C219" s="177"/>
      <c r="D219" s="177"/>
      <c r="E219" s="177"/>
      <c r="F219" s="244">
        <f t="shared" si="32"/>
        <v>0</v>
      </c>
      <c r="G219" s="244">
        <v>0</v>
      </c>
      <c r="H219" s="177">
        <v>0</v>
      </c>
      <c r="I219" s="244">
        <v>0</v>
      </c>
      <c r="J219" s="244">
        <v>40</v>
      </c>
      <c r="K219" s="177">
        <v>500</v>
      </c>
      <c r="L219" s="244">
        <f t="shared" si="29"/>
        <v>20</v>
      </c>
      <c r="M219" s="244">
        <f>J219-G219</f>
        <v>40</v>
      </c>
      <c r="N219" s="244">
        <f t="shared" si="30"/>
        <v>500</v>
      </c>
      <c r="O219" s="244">
        <f t="shared" si="31"/>
        <v>20</v>
      </c>
    </row>
    <row r="220" spans="1:15" ht="17.25">
      <c r="A220" s="177">
        <v>22</v>
      </c>
      <c r="B220" s="108" t="s">
        <v>434</v>
      </c>
      <c r="C220" s="177" t="s">
        <v>1</v>
      </c>
      <c r="D220" s="177">
        <v>10</v>
      </c>
      <c r="E220" s="177">
        <v>3400</v>
      </c>
      <c r="F220" s="244">
        <f t="shared" si="32"/>
        <v>34</v>
      </c>
      <c r="G220" s="244">
        <v>10</v>
      </c>
      <c r="H220" s="177">
        <v>5000</v>
      </c>
      <c r="I220" s="244">
        <f t="shared" si="28"/>
        <v>50</v>
      </c>
      <c r="J220" s="244">
        <v>10</v>
      </c>
      <c r="K220" s="177">
        <v>3000</v>
      </c>
      <c r="L220" s="244">
        <f t="shared" si="29"/>
        <v>30</v>
      </c>
      <c r="M220" s="244">
        <f t="shared" si="30"/>
        <v>0</v>
      </c>
      <c r="N220" s="244">
        <f t="shared" si="30"/>
        <v>-2000</v>
      </c>
      <c r="O220" s="244">
        <f t="shared" si="31"/>
        <v>-20</v>
      </c>
    </row>
    <row r="221" spans="1:15" ht="17.25">
      <c r="A221" s="177">
        <v>23</v>
      </c>
      <c r="B221" s="108" t="s">
        <v>970</v>
      </c>
      <c r="C221" s="177" t="s">
        <v>1</v>
      </c>
      <c r="D221" s="177"/>
      <c r="E221" s="177"/>
      <c r="F221" s="244">
        <f t="shared" si="32"/>
        <v>0</v>
      </c>
      <c r="G221" s="244">
        <v>10</v>
      </c>
      <c r="H221" s="177">
        <v>10000</v>
      </c>
      <c r="I221" s="244">
        <f t="shared" si="28"/>
        <v>100</v>
      </c>
      <c r="J221" s="244">
        <v>10</v>
      </c>
      <c r="K221" s="177">
        <v>10000</v>
      </c>
      <c r="L221" s="244">
        <f t="shared" si="29"/>
        <v>100</v>
      </c>
      <c r="M221" s="244">
        <f t="shared" si="30"/>
        <v>0</v>
      </c>
      <c r="N221" s="244">
        <f t="shared" si="30"/>
        <v>0</v>
      </c>
      <c r="O221" s="244">
        <f t="shared" si="31"/>
        <v>0</v>
      </c>
    </row>
    <row r="222" spans="1:15" ht="17.25">
      <c r="A222" s="177">
        <v>24</v>
      </c>
      <c r="B222" s="108" t="s">
        <v>435</v>
      </c>
      <c r="C222" s="177" t="s">
        <v>1</v>
      </c>
      <c r="D222" s="177">
        <v>6</v>
      </c>
      <c r="E222" s="177">
        <v>1170</v>
      </c>
      <c r="F222" s="244">
        <f t="shared" si="32"/>
        <v>7.02</v>
      </c>
      <c r="G222" s="244">
        <v>8</v>
      </c>
      <c r="H222" s="177">
        <v>1500</v>
      </c>
      <c r="I222" s="244">
        <f t="shared" si="28"/>
        <v>12</v>
      </c>
      <c r="J222" s="244">
        <v>10</v>
      </c>
      <c r="K222" s="177">
        <v>1500</v>
      </c>
      <c r="L222" s="244">
        <f t="shared" si="29"/>
        <v>15</v>
      </c>
      <c r="M222" s="244">
        <f t="shared" si="30"/>
        <v>2</v>
      </c>
      <c r="N222" s="244">
        <f t="shared" si="30"/>
        <v>0</v>
      </c>
      <c r="O222" s="244">
        <f t="shared" si="31"/>
        <v>3</v>
      </c>
    </row>
    <row r="223" spans="1:15" ht="17.25">
      <c r="A223" s="177">
        <v>25</v>
      </c>
      <c r="B223" s="108" t="s">
        <v>436</v>
      </c>
      <c r="C223" s="177" t="s">
        <v>1</v>
      </c>
      <c r="D223" s="177"/>
      <c r="E223" s="177"/>
      <c r="F223" s="244">
        <f t="shared" si="32"/>
        <v>0</v>
      </c>
      <c r="G223" s="244">
        <v>0</v>
      </c>
      <c r="H223" s="177">
        <v>0</v>
      </c>
      <c r="I223" s="244">
        <f t="shared" si="28"/>
        <v>0</v>
      </c>
      <c r="J223" s="244">
        <v>50</v>
      </c>
      <c r="K223" s="177">
        <v>150</v>
      </c>
      <c r="L223" s="244">
        <f t="shared" si="29"/>
        <v>7.5</v>
      </c>
      <c r="M223" s="244">
        <f t="shared" si="30"/>
        <v>50</v>
      </c>
      <c r="N223" s="244">
        <f t="shared" si="30"/>
        <v>150</v>
      </c>
      <c r="O223" s="244">
        <f t="shared" si="31"/>
        <v>7.5</v>
      </c>
    </row>
    <row r="224" spans="1:15" ht="17.25">
      <c r="A224" s="177">
        <v>26</v>
      </c>
      <c r="B224" s="108" t="s">
        <v>437</v>
      </c>
      <c r="C224" s="177" t="s">
        <v>1</v>
      </c>
      <c r="D224" s="177">
        <v>25</v>
      </c>
      <c r="E224" s="177">
        <v>2500</v>
      </c>
      <c r="F224" s="244">
        <f t="shared" si="32"/>
        <v>62.5</v>
      </c>
      <c r="G224" s="244">
        <v>20</v>
      </c>
      <c r="H224" s="177">
        <v>2000</v>
      </c>
      <c r="I224" s="244">
        <f t="shared" si="28"/>
        <v>40</v>
      </c>
      <c r="J224" s="244">
        <v>20</v>
      </c>
      <c r="K224" s="177">
        <v>3500</v>
      </c>
      <c r="L224" s="244">
        <f t="shared" si="29"/>
        <v>70</v>
      </c>
      <c r="M224" s="244">
        <f t="shared" si="30"/>
        <v>0</v>
      </c>
      <c r="N224" s="244">
        <f t="shared" si="30"/>
        <v>1500</v>
      </c>
      <c r="O224" s="244">
        <f t="shared" si="31"/>
        <v>30</v>
      </c>
    </row>
    <row r="225" spans="1:15" ht="17.25">
      <c r="A225" s="177">
        <v>27</v>
      </c>
      <c r="B225" s="108" t="s">
        <v>438</v>
      </c>
      <c r="C225" s="177" t="s">
        <v>1</v>
      </c>
      <c r="D225" s="177"/>
      <c r="E225" s="177"/>
      <c r="F225" s="244">
        <f t="shared" si="32"/>
        <v>0</v>
      </c>
      <c r="G225" s="244">
        <v>10</v>
      </c>
      <c r="H225" s="177">
        <v>6000</v>
      </c>
      <c r="I225" s="244">
        <f t="shared" si="28"/>
        <v>60</v>
      </c>
      <c r="J225" s="244">
        <v>10</v>
      </c>
      <c r="K225" s="177">
        <v>7000</v>
      </c>
      <c r="L225" s="244">
        <f t="shared" si="29"/>
        <v>70</v>
      </c>
      <c r="M225" s="244">
        <f t="shared" si="30"/>
        <v>0</v>
      </c>
      <c r="N225" s="244">
        <f t="shared" si="30"/>
        <v>1000</v>
      </c>
      <c r="O225" s="244">
        <f t="shared" si="31"/>
        <v>10</v>
      </c>
    </row>
    <row r="226" spans="1:15" ht="17.25">
      <c r="A226" s="177">
        <v>28</v>
      </c>
      <c r="B226" s="108" t="s">
        <v>439</v>
      </c>
      <c r="C226" s="177" t="s">
        <v>1</v>
      </c>
      <c r="D226" s="177"/>
      <c r="E226" s="177"/>
      <c r="F226" s="244">
        <f t="shared" si="32"/>
        <v>0</v>
      </c>
      <c r="G226" s="244">
        <v>20</v>
      </c>
      <c r="H226" s="177">
        <v>500</v>
      </c>
      <c r="I226" s="244">
        <f t="shared" si="28"/>
        <v>10</v>
      </c>
      <c r="J226" s="244">
        <v>20</v>
      </c>
      <c r="K226" s="177">
        <v>500</v>
      </c>
      <c r="L226" s="244">
        <f t="shared" si="29"/>
        <v>10</v>
      </c>
      <c r="M226" s="244">
        <f t="shared" si="30"/>
        <v>0</v>
      </c>
      <c r="N226" s="244">
        <f t="shared" si="30"/>
        <v>0</v>
      </c>
      <c r="O226" s="244">
        <f t="shared" si="31"/>
        <v>0</v>
      </c>
    </row>
    <row r="227" spans="1:15" ht="17.25">
      <c r="A227" s="177">
        <v>29</v>
      </c>
      <c r="B227" s="108" t="s">
        <v>439</v>
      </c>
      <c r="C227" s="177" t="s">
        <v>1</v>
      </c>
      <c r="D227" s="177">
        <v>20</v>
      </c>
      <c r="E227" s="177">
        <v>320</v>
      </c>
      <c r="F227" s="244">
        <f t="shared" si="32"/>
        <v>6.4</v>
      </c>
      <c r="G227" s="244">
        <v>20</v>
      </c>
      <c r="H227" s="177">
        <v>450</v>
      </c>
      <c r="I227" s="244">
        <f t="shared" si="28"/>
        <v>9</v>
      </c>
      <c r="J227" s="244"/>
      <c r="K227" s="177"/>
      <c r="L227" s="244">
        <f t="shared" si="29"/>
        <v>0</v>
      </c>
      <c r="M227" s="244">
        <f t="shared" si="30"/>
        <v>-20</v>
      </c>
      <c r="N227" s="244">
        <f t="shared" si="30"/>
        <v>-450</v>
      </c>
      <c r="O227" s="244">
        <f t="shared" si="31"/>
        <v>-9</v>
      </c>
    </row>
    <row r="228" spans="1:15" ht="17.25">
      <c r="A228" s="177">
        <v>30</v>
      </c>
      <c r="B228" s="279" t="s">
        <v>440</v>
      </c>
      <c r="C228" s="177" t="s">
        <v>1</v>
      </c>
      <c r="D228" s="177"/>
      <c r="E228" s="177"/>
      <c r="F228" s="244">
        <f t="shared" si="32"/>
        <v>0</v>
      </c>
      <c r="G228" s="244">
        <v>10</v>
      </c>
      <c r="H228" s="177">
        <v>700</v>
      </c>
      <c r="I228" s="244">
        <f t="shared" si="28"/>
        <v>7</v>
      </c>
      <c r="J228" s="244">
        <v>10</v>
      </c>
      <c r="K228" s="177">
        <v>1200</v>
      </c>
      <c r="L228" s="244">
        <f t="shared" si="29"/>
        <v>12</v>
      </c>
      <c r="M228" s="244">
        <f t="shared" si="30"/>
        <v>0</v>
      </c>
      <c r="N228" s="244">
        <f t="shared" si="30"/>
        <v>500</v>
      </c>
      <c r="O228" s="244">
        <f t="shared" si="31"/>
        <v>5</v>
      </c>
    </row>
    <row r="229" spans="1:15" ht="17.25">
      <c r="A229" s="177">
        <v>31</v>
      </c>
      <c r="B229" s="108" t="s">
        <v>441</v>
      </c>
      <c r="C229" s="177" t="s">
        <v>1</v>
      </c>
      <c r="D229" s="177"/>
      <c r="E229" s="177"/>
      <c r="F229" s="244">
        <f t="shared" si="32"/>
        <v>0</v>
      </c>
      <c r="G229" s="245">
        <v>1000</v>
      </c>
      <c r="H229" s="177">
        <v>150</v>
      </c>
      <c r="I229" s="244">
        <f t="shared" si="28"/>
        <v>150</v>
      </c>
      <c r="J229" s="383">
        <v>1000</v>
      </c>
      <c r="K229" s="384">
        <v>150</v>
      </c>
      <c r="L229" s="244">
        <f t="shared" si="29"/>
        <v>150</v>
      </c>
      <c r="M229" s="244">
        <f t="shared" si="30"/>
        <v>0</v>
      </c>
      <c r="N229" s="244">
        <f t="shared" si="30"/>
        <v>0</v>
      </c>
      <c r="O229" s="244">
        <f t="shared" si="31"/>
        <v>0</v>
      </c>
    </row>
    <row r="230" spans="1:15" ht="17.25">
      <c r="A230" s="177">
        <v>32</v>
      </c>
      <c r="B230" s="108" t="s">
        <v>939</v>
      </c>
      <c r="C230" s="177"/>
      <c r="D230" s="177"/>
      <c r="E230" s="177"/>
      <c r="F230" s="244">
        <f t="shared" si="32"/>
        <v>0</v>
      </c>
      <c r="G230" s="245">
        <v>0</v>
      </c>
      <c r="H230" s="177">
        <v>0</v>
      </c>
      <c r="I230" s="244">
        <f>G230*H230</f>
        <v>0</v>
      </c>
      <c r="J230" s="245"/>
      <c r="K230" s="177"/>
      <c r="L230" s="244">
        <f t="shared" si="29"/>
        <v>0</v>
      </c>
      <c r="M230" s="244">
        <f aca="true" t="shared" si="33" ref="M230:M254">J230-G230</f>
        <v>0</v>
      </c>
      <c r="N230" s="244">
        <f aca="true" t="shared" si="34" ref="N230:N254">K230-H230</f>
        <v>0</v>
      </c>
      <c r="O230" s="244">
        <f aca="true" t="shared" si="35" ref="O230:O254">L230-I230</f>
        <v>0</v>
      </c>
    </row>
    <row r="231" spans="1:15" ht="17.25">
      <c r="A231" s="177">
        <v>33</v>
      </c>
      <c r="B231" s="108" t="s">
        <v>940</v>
      </c>
      <c r="C231" s="177"/>
      <c r="D231" s="177">
        <v>800</v>
      </c>
      <c r="E231" s="177">
        <v>13</v>
      </c>
      <c r="F231" s="244">
        <f t="shared" si="32"/>
        <v>10.4</v>
      </c>
      <c r="G231" s="245">
        <v>0</v>
      </c>
      <c r="H231" s="177">
        <v>0</v>
      </c>
      <c r="I231" s="244">
        <f aca="true" t="shared" si="36" ref="I231:I254">G231*H231</f>
        <v>0</v>
      </c>
      <c r="J231" s="245">
        <v>800</v>
      </c>
      <c r="K231" s="177">
        <v>15</v>
      </c>
      <c r="L231" s="244">
        <f t="shared" si="29"/>
        <v>12</v>
      </c>
      <c r="M231" s="244">
        <f t="shared" si="33"/>
        <v>800</v>
      </c>
      <c r="N231" s="244">
        <f t="shared" si="34"/>
        <v>15</v>
      </c>
      <c r="O231" s="244">
        <f t="shared" si="35"/>
        <v>12</v>
      </c>
    </row>
    <row r="232" spans="1:15" ht="17.25">
      <c r="A232" s="177">
        <v>34</v>
      </c>
      <c r="B232" s="108" t="s">
        <v>941</v>
      </c>
      <c r="C232" s="177"/>
      <c r="D232" s="177">
        <v>4</v>
      </c>
      <c r="E232" s="177">
        <v>475</v>
      </c>
      <c r="F232" s="244">
        <f t="shared" si="32"/>
        <v>1.9</v>
      </c>
      <c r="G232" s="245">
        <v>0</v>
      </c>
      <c r="H232" s="177">
        <v>0</v>
      </c>
      <c r="I232" s="244">
        <f t="shared" si="36"/>
        <v>0</v>
      </c>
      <c r="J232" s="245"/>
      <c r="K232" s="177"/>
      <c r="L232" s="244">
        <f t="shared" si="29"/>
        <v>0</v>
      </c>
      <c r="M232" s="244">
        <f t="shared" si="33"/>
        <v>0</v>
      </c>
      <c r="N232" s="244">
        <f t="shared" si="34"/>
        <v>0</v>
      </c>
      <c r="O232" s="244">
        <f t="shared" si="35"/>
        <v>0</v>
      </c>
    </row>
    <row r="233" spans="1:15" ht="17.25">
      <c r="A233" s="177">
        <v>35</v>
      </c>
      <c r="B233" s="108" t="s">
        <v>942</v>
      </c>
      <c r="C233" s="177"/>
      <c r="D233" s="177">
        <v>5</v>
      </c>
      <c r="E233" s="177">
        <v>2500</v>
      </c>
      <c r="F233" s="244">
        <f t="shared" si="32"/>
        <v>12.5</v>
      </c>
      <c r="G233" s="245">
        <v>0</v>
      </c>
      <c r="H233" s="177">
        <v>0</v>
      </c>
      <c r="I233" s="244">
        <f t="shared" si="36"/>
        <v>0</v>
      </c>
      <c r="J233" s="245"/>
      <c r="K233" s="177"/>
      <c r="L233" s="244">
        <f t="shared" si="29"/>
        <v>0</v>
      </c>
      <c r="M233" s="244">
        <f t="shared" si="33"/>
        <v>0</v>
      </c>
      <c r="N233" s="244">
        <f t="shared" si="34"/>
        <v>0</v>
      </c>
      <c r="O233" s="244">
        <f t="shared" si="35"/>
        <v>0</v>
      </c>
    </row>
    <row r="234" spans="1:15" ht="17.25">
      <c r="A234" s="177">
        <v>36</v>
      </c>
      <c r="B234" s="279" t="s">
        <v>944</v>
      </c>
      <c r="C234" s="177"/>
      <c r="D234" s="177">
        <v>24</v>
      </c>
      <c r="E234" s="177">
        <v>190</v>
      </c>
      <c r="F234" s="244">
        <f t="shared" si="32"/>
        <v>4.56</v>
      </c>
      <c r="G234" s="245">
        <v>0</v>
      </c>
      <c r="H234" s="177">
        <v>0</v>
      </c>
      <c r="I234" s="244">
        <f t="shared" si="36"/>
        <v>0</v>
      </c>
      <c r="J234" s="245"/>
      <c r="K234" s="177"/>
      <c r="L234" s="244">
        <f t="shared" si="29"/>
        <v>0</v>
      </c>
      <c r="M234" s="244">
        <f t="shared" si="33"/>
        <v>0</v>
      </c>
      <c r="N234" s="244">
        <f t="shared" si="34"/>
        <v>0</v>
      </c>
      <c r="O234" s="244">
        <f t="shared" si="35"/>
        <v>0</v>
      </c>
    </row>
    <row r="235" spans="1:15" ht="17.25">
      <c r="A235" s="177">
        <v>37</v>
      </c>
      <c r="B235" s="279" t="s">
        <v>945</v>
      </c>
      <c r="C235" s="177"/>
      <c r="D235" s="177">
        <v>10</v>
      </c>
      <c r="E235" s="177">
        <v>9200</v>
      </c>
      <c r="F235" s="244">
        <f t="shared" si="32"/>
        <v>92</v>
      </c>
      <c r="G235" s="245">
        <v>0</v>
      </c>
      <c r="H235" s="177">
        <v>0</v>
      </c>
      <c r="I235" s="244">
        <f t="shared" si="36"/>
        <v>0</v>
      </c>
      <c r="J235" s="245"/>
      <c r="K235" s="177"/>
      <c r="L235" s="244">
        <f t="shared" si="29"/>
        <v>0</v>
      </c>
      <c r="M235" s="244">
        <f t="shared" si="33"/>
        <v>0</v>
      </c>
      <c r="N235" s="244">
        <f t="shared" si="34"/>
        <v>0</v>
      </c>
      <c r="O235" s="244">
        <f t="shared" si="35"/>
        <v>0</v>
      </c>
    </row>
    <row r="236" spans="1:15" ht="17.25">
      <c r="A236" s="177">
        <v>38</v>
      </c>
      <c r="B236" s="279" t="s">
        <v>946</v>
      </c>
      <c r="C236" s="177"/>
      <c r="D236" s="177">
        <v>15</v>
      </c>
      <c r="E236" s="177">
        <v>2300</v>
      </c>
      <c r="F236" s="244">
        <f t="shared" si="32"/>
        <v>34.5</v>
      </c>
      <c r="G236" s="245">
        <v>0</v>
      </c>
      <c r="H236" s="177">
        <v>0</v>
      </c>
      <c r="I236" s="244">
        <f t="shared" si="36"/>
        <v>0</v>
      </c>
      <c r="J236" s="245"/>
      <c r="K236" s="177"/>
      <c r="L236" s="244">
        <f t="shared" si="29"/>
        <v>0</v>
      </c>
      <c r="M236" s="244">
        <f t="shared" si="33"/>
        <v>0</v>
      </c>
      <c r="N236" s="244">
        <f t="shared" si="34"/>
        <v>0</v>
      </c>
      <c r="O236" s="244">
        <f t="shared" si="35"/>
        <v>0</v>
      </c>
    </row>
    <row r="237" spans="1:15" ht="17.25">
      <c r="A237" s="177">
        <v>39</v>
      </c>
      <c r="B237" s="279" t="s">
        <v>947</v>
      </c>
      <c r="C237" s="177"/>
      <c r="D237" s="177">
        <v>30</v>
      </c>
      <c r="E237" s="177">
        <v>160</v>
      </c>
      <c r="F237" s="244">
        <f t="shared" si="32"/>
        <v>4.8</v>
      </c>
      <c r="G237" s="245">
        <v>0</v>
      </c>
      <c r="H237" s="177">
        <v>0</v>
      </c>
      <c r="I237" s="244">
        <f t="shared" si="36"/>
        <v>0</v>
      </c>
      <c r="J237" s="245"/>
      <c r="K237" s="177"/>
      <c r="L237" s="244">
        <f t="shared" si="29"/>
        <v>0</v>
      </c>
      <c r="M237" s="244">
        <f t="shared" si="33"/>
        <v>0</v>
      </c>
      <c r="N237" s="244">
        <f t="shared" si="34"/>
        <v>0</v>
      </c>
      <c r="O237" s="244">
        <f t="shared" si="35"/>
        <v>0</v>
      </c>
    </row>
    <row r="238" spans="1:15" ht="17.25">
      <c r="A238" s="177">
        <v>40</v>
      </c>
      <c r="B238" s="279" t="s">
        <v>948</v>
      </c>
      <c r="C238" s="177"/>
      <c r="D238" s="177">
        <v>5</v>
      </c>
      <c r="E238" s="177">
        <v>13800</v>
      </c>
      <c r="F238" s="244">
        <f t="shared" si="32"/>
        <v>69</v>
      </c>
      <c r="G238" s="245">
        <v>0</v>
      </c>
      <c r="H238" s="177">
        <v>0</v>
      </c>
      <c r="I238" s="244">
        <f t="shared" si="36"/>
        <v>0</v>
      </c>
      <c r="J238" s="245"/>
      <c r="K238" s="177"/>
      <c r="L238" s="244">
        <f t="shared" si="29"/>
        <v>0</v>
      </c>
      <c r="M238" s="244">
        <f t="shared" si="33"/>
        <v>0</v>
      </c>
      <c r="N238" s="244">
        <f t="shared" si="34"/>
        <v>0</v>
      </c>
      <c r="O238" s="244">
        <f t="shared" si="35"/>
        <v>0</v>
      </c>
    </row>
    <row r="239" spans="1:15" ht="17.25">
      <c r="A239" s="177">
        <v>41</v>
      </c>
      <c r="B239" s="279" t="s">
        <v>949</v>
      </c>
      <c r="C239" s="177"/>
      <c r="D239" s="177">
        <v>5</v>
      </c>
      <c r="E239" s="177">
        <v>1600</v>
      </c>
      <c r="F239" s="244">
        <f t="shared" si="32"/>
        <v>8</v>
      </c>
      <c r="G239" s="245">
        <v>0</v>
      </c>
      <c r="H239" s="177">
        <v>0</v>
      </c>
      <c r="I239" s="244">
        <f t="shared" si="36"/>
        <v>0</v>
      </c>
      <c r="J239" s="245"/>
      <c r="K239" s="177"/>
      <c r="L239" s="244">
        <f t="shared" si="29"/>
        <v>0</v>
      </c>
      <c r="M239" s="244">
        <f t="shared" si="33"/>
        <v>0</v>
      </c>
      <c r="N239" s="244">
        <f t="shared" si="34"/>
        <v>0</v>
      </c>
      <c r="O239" s="244">
        <f t="shared" si="35"/>
        <v>0</v>
      </c>
    </row>
    <row r="240" spans="1:15" ht="17.25">
      <c r="A240" s="177">
        <v>42</v>
      </c>
      <c r="B240" s="279" t="s">
        <v>950</v>
      </c>
      <c r="C240" s="177"/>
      <c r="D240" s="177">
        <v>20</v>
      </c>
      <c r="E240" s="177">
        <v>450</v>
      </c>
      <c r="F240" s="244">
        <f t="shared" si="32"/>
        <v>9</v>
      </c>
      <c r="G240" s="245">
        <v>0</v>
      </c>
      <c r="H240" s="177">
        <v>0</v>
      </c>
      <c r="I240" s="244">
        <f t="shared" si="36"/>
        <v>0</v>
      </c>
      <c r="J240" s="245"/>
      <c r="K240" s="177"/>
      <c r="L240" s="244">
        <f t="shared" si="29"/>
        <v>0</v>
      </c>
      <c r="M240" s="244">
        <f t="shared" si="33"/>
        <v>0</v>
      </c>
      <c r="N240" s="244">
        <f t="shared" si="34"/>
        <v>0</v>
      </c>
      <c r="O240" s="244">
        <f t="shared" si="35"/>
        <v>0</v>
      </c>
    </row>
    <row r="241" spans="1:15" ht="17.25">
      <c r="A241" s="177">
        <v>43</v>
      </c>
      <c r="B241" s="279" t="s">
        <v>974</v>
      </c>
      <c r="C241" s="177"/>
      <c r="D241" s="177">
        <v>20</v>
      </c>
      <c r="E241" s="177">
        <v>280</v>
      </c>
      <c r="F241" s="244">
        <f t="shared" si="32"/>
        <v>5.6</v>
      </c>
      <c r="G241" s="245">
        <v>0</v>
      </c>
      <c r="H241" s="177">
        <v>0</v>
      </c>
      <c r="I241" s="244">
        <f t="shared" si="36"/>
        <v>0</v>
      </c>
      <c r="J241" s="245"/>
      <c r="K241" s="177"/>
      <c r="L241" s="244">
        <f t="shared" si="29"/>
        <v>0</v>
      </c>
      <c r="M241" s="244">
        <f t="shared" si="33"/>
        <v>0</v>
      </c>
      <c r="N241" s="244">
        <f t="shared" si="34"/>
        <v>0</v>
      </c>
      <c r="O241" s="244">
        <f t="shared" si="35"/>
        <v>0</v>
      </c>
    </row>
    <row r="242" spans="1:15" ht="17.25">
      <c r="A242" s="177">
        <v>44</v>
      </c>
      <c r="B242" s="279" t="s">
        <v>951</v>
      </c>
      <c r="C242" s="177"/>
      <c r="D242" s="177">
        <v>7.5</v>
      </c>
      <c r="E242" s="177">
        <v>4000</v>
      </c>
      <c r="F242" s="244">
        <f t="shared" si="32"/>
        <v>30</v>
      </c>
      <c r="G242" s="245">
        <v>0</v>
      </c>
      <c r="H242" s="177">
        <v>0</v>
      </c>
      <c r="I242" s="244">
        <f t="shared" si="36"/>
        <v>0</v>
      </c>
      <c r="J242" s="245"/>
      <c r="K242" s="177"/>
      <c r="L242" s="244">
        <f t="shared" si="29"/>
        <v>0</v>
      </c>
      <c r="M242" s="244">
        <f t="shared" si="33"/>
        <v>0</v>
      </c>
      <c r="N242" s="244">
        <f t="shared" si="34"/>
        <v>0</v>
      </c>
      <c r="O242" s="244">
        <f t="shared" si="35"/>
        <v>0</v>
      </c>
    </row>
    <row r="243" spans="1:15" ht="17.25">
      <c r="A243" s="177">
        <v>45</v>
      </c>
      <c r="B243" s="279" t="s">
        <v>952</v>
      </c>
      <c r="C243" s="177"/>
      <c r="D243" s="177">
        <v>1</v>
      </c>
      <c r="E243" s="177">
        <v>24000</v>
      </c>
      <c r="F243" s="244">
        <f t="shared" si="32"/>
        <v>24</v>
      </c>
      <c r="G243" s="245">
        <v>0</v>
      </c>
      <c r="H243" s="177">
        <v>0</v>
      </c>
      <c r="I243" s="244">
        <f t="shared" si="36"/>
        <v>0</v>
      </c>
      <c r="J243" s="245"/>
      <c r="K243" s="177"/>
      <c r="L243" s="244">
        <f t="shared" si="29"/>
        <v>0</v>
      </c>
      <c r="M243" s="244">
        <f t="shared" si="33"/>
        <v>0</v>
      </c>
      <c r="N243" s="244">
        <f t="shared" si="34"/>
        <v>0</v>
      </c>
      <c r="O243" s="244">
        <f t="shared" si="35"/>
        <v>0</v>
      </c>
    </row>
    <row r="244" spans="1:15" ht="17.25">
      <c r="A244" s="177">
        <v>46</v>
      </c>
      <c r="B244" s="279" t="s">
        <v>953</v>
      </c>
      <c r="C244" s="177"/>
      <c r="D244" s="177">
        <v>15</v>
      </c>
      <c r="E244" s="177">
        <v>1400</v>
      </c>
      <c r="F244" s="244">
        <f t="shared" si="32"/>
        <v>21</v>
      </c>
      <c r="G244" s="245">
        <v>0</v>
      </c>
      <c r="H244" s="177">
        <v>0</v>
      </c>
      <c r="I244" s="244">
        <f t="shared" si="36"/>
        <v>0</v>
      </c>
      <c r="J244" s="245"/>
      <c r="K244" s="177"/>
      <c r="L244" s="244">
        <f t="shared" si="29"/>
        <v>0</v>
      </c>
      <c r="M244" s="244">
        <f t="shared" si="33"/>
        <v>0</v>
      </c>
      <c r="N244" s="244">
        <f t="shared" si="34"/>
        <v>0</v>
      </c>
      <c r="O244" s="244">
        <f t="shared" si="35"/>
        <v>0</v>
      </c>
    </row>
    <row r="245" spans="1:15" ht="17.25">
      <c r="A245" s="177">
        <v>47</v>
      </c>
      <c r="B245" s="279" t="s">
        <v>954</v>
      </c>
      <c r="C245" s="177"/>
      <c r="D245" s="177">
        <v>1.12</v>
      </c>
      <c r="E245" s="177">
        <v>5000</v>
      </c>
      <c r="F245" s="244">
        <f t="shared" si="32"/>
        <v>5.6000000000000005</v>
      </c>
      <c r="G245" s="245">
        <v>0</v>
      </c>
      <c r="H245" s="177">
        <v>0</v>
      </c>
      <c r="I245" s="244">
        <f t="shared" si="36"/>
        <v>0</v>
      </c>
      <c r="J245" s="245"/>
      <c r="K245" s="177"/>
      <c r="L245" s="244">
        <f t="shared" si="29"/>
        <v>0</v>
      </c>
      <c r="M245" s="244">
        <f t="shared" si="33"/>
        <v>0</v>
      </c>
      <c r="N245" s="244">
        <f t="shared" si="34"/>
        <v>0</v>
      </c>
      <c r="O245" s="244">
        <f t="shared" si="35"/>
        <v>0</v>
      </c>
    </row>
    <row r="246" spans="1:15" ht="17.25">
      <c r="A246" s="177">
        <v>48</v>
      </c>
      <c r="B246" s="108" t="s">
        <v>955</v>
      </c>
      <c r="C246" s="177" t="s">
        <v>1</v>
      </c>
      <c r="D246" s="177">
        <v>6.5</v>
      </c>
      <c r="E246" s="177">
        <v>1000</v>
      </c>
      <c r="F246" s="244">
        <f>(D246*E246)/1000</f>
        <v>6.5</v>
      </c>
      <c r="G246" s="245">
        <v>0</v>
      </c>
      <c r="H246" s="177">
        <v>0</v>
      </c>
      <c r="I246" s="244">
        <f t="shared" si="36"/>
        <v>0</v>
      </c>
      <c r="J246" s="245"/>
      <c r="K246" s="177"/>
      <c r="L246" s="244">
        <f t="shared" si="29"/>
        <v>0</v>
      </c>
      <c r="M246" s="244">
        <f t="shared" si="33"/>
        <v>0</v>
      </c>
      <c r="N246" s="244">
        <f t="shared" si="34"/>
        <v>0</v>
      </c>
      <c r="O246" s="244">
        <f t="shared" si="35"/>
        <v>0</v>
      </c>
    </row>
    <row r="247" spans="1:15" ht="17.25">
      <c r="A247" s="177">
        <v>49</v>
      </c>
      <c r="B247" s="108" t="s">
        <v>956</v>
      </c>
      <c r="C247" s="177"/>
      <c r="D247" s="177">
        <v>4</v>
      </c>
      <c r="E247" s="177">
        <v>1000</v>
      </c>
      <c r="F247" s="244">
        <f>(D247*E247)/1000</f>
        <v>4</v>
      </c>
      <c r="G247" s="245">
        <v>0</v>
      </c>
      <c r="H247" s="177">
        <v>0</v>
      </c>
      <c r="I247" s="244">
        <f t="shared" si="36"/>
        <v>0</v>
      </c>
      <c r="J247" s="245"/>
      <c r="K247" s="177"/>
      <c r="L247" s="244">
        <f t="shared" si="29"/>
        <v>0</v>
      </c>
      <c r="M247" s="244">
        <f t="shared" si="33"/>
        <v>0</v>
      </c>
      <c r="N247" s="244">
        <f t="shared" si="34"/>
        <v>0</v>
      </c>
      <c r="O247" s="244">
        <f t="shared" si="35"/>
        <v>0</v>
      </c>
    </row>
    <row r="248" spans="1:15" ht="17.25">
      <c r="A248" s="177">
        <v>50</v>
      </c>
      <c r="B248" s="108" t="s">
        <v>957</v>
      </c>
      <c r="C248" s="177"/>
      <c r="D248" s="177">
        <v>5</v>
      </c>
      <c r="E248" s="177">
        <v>2500</v>
      </c>
      <c r="F248" s="244">
        <f>(D248*E248)/1000</f>
        <v>12.5</v>
      </c>
      <c r="G248" s="245">
        <v>0</v>
      </c>
      <c r="H248" s="177">
        <v>0</v>
      </c>
      <c r="I248" s="244">
        <f t="shared" si="36"/>
        <v>0</v>
      </c>
      <c r="J248" s="245"/>
      <c r="K248" s="177"/>
      <c r="L248" s="244">
        <f t="shared" si="29"/>
        <v>0</v>
      </c>
      <c r="M248" s="244">
        <f t="shared" si="33"/>
        <v>0</v>
      </c>
      <c r="N248" s="244">
        <f t="shared" si="34"/>
        <v>0</v>
      </c>
      <c r="O248" s="244">
        <f t="shared" si="35"/>
        <v>0</v>
      </c>
    </row>
    <row r="249" spans="1:15" ht="17.25">
      <c r="A249" s="177">
        <v>51</v>
      </c>
      <c r="B249" s="108" t="s">
        <v>971</v>
      </c>
      <c r="C249" s="177"/>
      <c r="D249" s="177">
        <v>0</v>
      </c>
      <c r="E249" s="177">
        <v>0</v>
      </c>
      <c r="F249" s="244">
        <f aca="true" t="shared" si="37" ref="F249:F254">D249*E249</f>
        <v>0</v>
      </c>
      <c r="G249" s="245">
        <v>0</v>
      </c>
      <c r="H249" s="177">
        <v>0</v>
      </c>
      <c r="I249" s="244">
        <f t="shared" si="36"/>
        <v>0</v>
      </c>
      <c r="J249" s="245">
        <v>20</v>
      </c>
      <c r="K249" s="177">
        <v>1200</v>
      </c>
      <c r="L249" s="244">
        <f t="shared" si="29"/>
        <v>24</v>
      </c>
      <c r="M249" s="244">
        <f t="shared" si="33"/>
        <v>20</v>
      </c>
      <c r="N249" s="244">
        <f t="shared" si="34"/>
        <v>1200</v>
      </c>
      <c r="O249" s="244">
        <f t="shared" si="35"/>
        <v>24</v>
      </c>
    </row>
    <row r="250" spans="1:15" ht="17.25">
      <c r="A250" s="177">
        <v>52</v>
      </c>
      <c r="B250" s="108" t="s">
        <v>972</v>
      </c>
      <c r="C250" s="177"/>
      <c r="D250" s="177">
        <v>0</v>
      </c>
      <c r="E250" s="177">
        <v>0</v>
      </c>
      <c r="F250" s="244">
        <f t="shared" si="37"/>
        <v>0</v>
      </c>
      <c r="G250" s="245">
        <v>0</v>
      </c>
      <c r="H250" s="177">
        <v>0</v>
      </c>
      <c r="I250" s="244">
        <f t="shared" si="36"/>
        <v>0</v>
      </c>
      <c r="J250" s="245">
        <v>20</v>
      </c>
      <c r="K250" s="177">
        <v>150</v>
      </c>
      <c r="L250" s="244">
        <f t="shared" si="29"/>
        <v>3</v>
      </c>
      <c r="M250" s="244">
        <f t="shared" si="33"/>
        <v>20</v>
      </c>
      <c r="N250" s="244">
        <f t="shared" si="34"/>
        <v>150</v>
      </c>
      <c r="O250" s="244">
        <f t="shared" si="35"/>
        <v>3</v>
      </c>
    </row>
    <row r="251" spans="1:15" ht="39.75" customHeight="1">
      <c r="A251" s="177">
        <v>53</v>
      </c>
      <c r="B251" s="108" t="s">
        <v>973</v>
      </c>
      <c r="C251" s="177"/>
      <c r="D251" s="177">
        <v>0</v>
      </c>
      <c r="E251" s="177">
        <v>0</v>
      </c>
      <c r="F251" s="244">
        <f t="shared" si="37"/>
        <v>0</v>
      </c>
      <c r="G251" s="245">
        <v>0</v>
      </c>
      <c r="H251" s="177">
        <v>0</v>
      </c>
      <c r="I251" s="244">
        <f t="shared" si="36"/>
        <v>0</v>
      </c>
      <c r="J251" s="245">
        <v>6</v>
      </c>
      <c r="K251" s="177">
        <v>4500</v>
      </c>
      <c r="L251" s="244">
        <f t="shared" si="29"/>
        <v>27</v>
      </c>
      <c r="M251" s="244">
        <f t="shared" si="33"/>
        <v>6</v>
      </c>
      <c r="N251" s="244">
        <f t="shared" si="34"/>
        <v>4500</v>
      </c>
      <c r="O251" s="244">
        <f t="shared" si="35"/>
        <v>27</v>
      </c>
    </row>
    <row r="252" spans="1:15" ht="24" customHeight="1">
      <c r="A252" s="177">
        <v>54</v>
      </c>
      <c r="B252" s="108" t="s">
        <v>1455</v>
      </c>
      <c r="C252" s="177"/>
      <c r="D252" s="177">
        <v>0</v>
      </c>
      <c r="E252" s="177">
        <v>0</v>
      </c>
      <c r="F252" s="244">
        <f t="shared" si="37"/>
        <v>0</v>
      </c>
      <c r="G252" s="245">
        <v>0</v>
      </c>
      <c r="H252" s="177">
        <v>0</v>
      </c>
      <c r="I252" s="244">
        <f t="shared" si="36"/>
        <v>0</v>
      </c>
      <c r="J252" s="245">
        <v>10</v>
      </c>
      <c r="K252" s="177">
        <v>1600</v>
      </c>
      <c r="L252" s="244">
        <f t="shared" si="29"/>
        <v>16</v>
      </c>
      <c r="M252" s="244">
        <f t="shared" si="33"/>
        <v>10</v>
      </c>
      <c r="N252" s="244">
        <f t="shared" si="34"/>
        <v>1600</v>
      </c>
      <c r="O252" s="244">
        <f t="shared" si="35"/>
        <v>16</v>
      </c>
    </row>
    <row r="253" spans="1:15" ht="24" customHeight="1">
      <c r="A253" s="177">
        <v>55</v>
      </c>
      <c r="B253" s="108" t="s">
        <v>975</v>
      </c>
      <c r="C253" s="177"/>
      <c r="D253" s="177">
        <v>0</v>
      </c>
      <c r="E253" s="177">
        <v>0</v>
      </c>
      <c r="F253" s="244">
        <f t="shared" si="37"/>
        <v>0</v>
      </c>
      <c r="G253" s="245">
        <v>0</v>
      </c>
      <c r="H253" s="177">
        <v>0</v>
      </c>
      <c r="I253" s="244">
        <f t="shared" si="36"/>
        <v>0</v>
      </c>
      <c r="J253" s="245">
        <v>6</v>
      </c>
      <c r="K253" s="177">
        <v>3500</v>
      </c>
      <c r="L253" s="244">
        <f t="shared" si="29"/>
        <v>21</v>
      </c>
      <c r="M253" s="244">
        <f t="shared" si="33"/>
        <v>6</v>
      </c>
      <c r="N253" s="244">
        <f t="shared" si="34"/>
        <v>3500</v>
      </c>
      <c r="O253" s="244">
        <f t="shared" si="35"/>
        <v>21</v>
      </c>
    </row>
    <row r="254" spans="1:15" ht="24" customHeight="1">
      <c r="A254" s="177">
        <v>56</v>
      </c>
      <c r="B254" s="108" t="s">
        <v>976</v>
      </c>
      <c r="C254" s="177"/>
      <c r="D254" s="177">
        <v>0</v>
      </c>
      <c r="E254" s="177">
        <v>0</v>
      </c>
      <c r="F254" s="244">
        <f t="shared" si="37"/>
        <v>0</v>
      </c>
      <c r="G254" s="245">
        <v>0</v>
      </c>
      <c r="H254" s="177">
        <v>0</v>
      </c>
      <c r="I254" s="244">
        <f t="shared" si="36"/>
        <v>0</v>
      </c>
      <c r="J254" s="245">
        <v>7</v>
      </c>
      <c r="K254" s="177">
        <v>20000</v>
      </c>
      <c r="L254" s="244">
        <f t="shared" si="29"/>
        <v>140</v>
      </c>
      <c r="M254" s="244">
        <f t="shared" si="33"/>
        <v>7</v>
      </c>
      <c r="N254" s="244">
        <f t="shared" si="34"/>
        <v>20000</v>
      </c>
      <c r="O254" s="244">
        <f t="shared" si="35"/>
        <v>140</v>
      </c>
    </row>
    <row r="255" spans="1:16" ht="17.25">
      <c r="A255" s="177"/>
      <c r="B255" s="316" t="s">
        <v>442</v>
      </c>
      <c r="C255" s="250">
        <v>5122</v>
      </c>
      <c r="D255" s="250"/>
      <c r="E255" s="250"/>
      <c r="F255" s="284">
        <f>F259</f>
        <v>20760</v>
      </c>
      <c r="G255" s="250">
        <f>G258+G259+G260+G261+G262+G263+G264+G265</f>
        <v>88</v>
      </c>
      <c r="H255" s="250"/>
      <c r="I255" s="284">
        <f>I258+I259+I260+I261+I262+I263+I264+I265</f>
        <v>31248.2</v>
      </c>
      <c r="J255" s="284">
        <f>SUM(J258:J266)</f>
        <v>2</v>
      </c>
      <c r="K255" s="250"/>
      <c r="L255" s="284">
        <f>SUM(L258:L269)</f>
        <v>2115</v>
      </c>
      <c r="M255" s="284">
        <f>J255-G255</f>
        <v>-86</v>
      </c>
      <c r="N255" s="284">
        <f>K255-H255</f>
        <v>0</v>
      </c>
      <c r="O255" s="284">
        <f>L255-I255</f>
        <v>-29133.2</v>
      </c>
      <c r="P255" s="280"/>
    </row>
    <row r="256" spans="1:15" ht="17.25">
      <c r="A256" s="177"/>
      <c r="B256" s="106" t="s">
        <v>78</v>
      </c>
      <c r="C256" s="177"/>
      <c r="D256" s="177"/>
      <c r="E256" s="177"/>
      <c r="F256" s="177"/>
      <c r="G256" s="177"/>
      <c r="H256" s="177"/>
      <c r="I256" s="244"/>
      <c r="J256" s="244"/>
      <c r="K256" s="177"/>
      <c r="L256" s="244"/>
      <c r="M256" s="244">
        <f t="shared" si="30"/>
        <v>0</v>
      </c>
      <c r="N256" s="177"/>
      <c r="O256" s="244">
        <f t="shared" si="31"/>
        <v>0</v>
      </c>
    </row>
    <row r="257" spans="1:15" ht="34.5">
      <c r="A257" s="177"/>
      <c r="B257" s="100" t="s">
        <v>186</v>
      </c>
      <c r="C257" s="177"/>
      <c r="D257" s="177"/>
      <c r="E257" s="177"/>
      <c r="F257" s="177"/>
      <c r="G257" s="177"/>
      <c r="H257" s="177"/>
      <c r="I257" s="244"/>
      <c r="J257" s="244"/>
      <c r="K257" s="177"/>
      <c r="L257" s="244"/>
      <c r="M257" s="244"/>
      <c r="N257" s="177"/>
      <c r="O257" s="244"/>
    </row>
    <row r="258" spans="1:15" ht="17.25">
      <c r="A258" s="177">
        <v>1</v>
      </c>
      <c r="B258" s="251" t="s">
        <v>828</v>
      </c>
      <c r="C258" s="177" t="s">
        <v>1</v>
      </c>
      <c r="D258" s="177"/>
      <c r="E258" s="177"/>
      <c r="F258" s="177"/>
      <c r="G258" s="252">
        <v>30</v>
      </c>
      <c r="H258" s="177">
        <v>561600</v>
      </c>
      <c r="I258" s="244">
        <f>G258*H258/1000</f>
        <v>16848</v>
      </c>
      <c r="J258" s="244"/>
      <c r="K258" s="177"/>
      <c r="L258" s="244"/>
      <c r="M258" s="244">
        <f t="shared" si="30"/>
        <v>-30</v>
      </c>
      <c r="N258" s="244">
        <f t="shared" si="30"/>
        <v>-561600</v>
      </c>
      <c r="O258" s="244">
        <f t="shared" si="31"/>
        <v>-16848</v>
      </c>
    </row>
    <row r="259" spans="1:15" ht="17.25">
      <c r="A259" s="177">
        <v>2</v>
      </c>
      <c r="B259" s="251" t="s">
        <v>826</v>
      </c>
      <c r="C259" s="177"/>
      <c r="D259" s="177">
        <v>5</v>
      </c>
      <c r="E259" s="177">
        <v>415200</v>
      </c>
      <c r="F259" s="280">
        <f>(D259*E259)/100</f>
        <v>20760</v>
      </c>
      <c r="G259" s="252">
        <v>22</v>
      </c>
      <c r="H259" s="177">
        <v>561600</v>
      </c>
      <c r="I259" s="244">
        <f>G259*H259/1000</f>
        <v>12355.2</v>
      </c>
      <c r="J259" s="244"/>
      <c r="K259" s="177"/>
      <c r="L259" s="244"/>
      <c r="M259" s="244"/>
      <c r="N259" s="244"/>
      <c r="O259" s="244"/>
    </row>
    <row r="260" spans="1:15" ht="17.25">
      <c r="A260" s="177">
        <v>3</v>
      </c>
      <c r="B260" s="251" t="s">
        <v>852</v>
      </c>
      <c r="C260" s="177" t="s">
        <v>1</v>
      </c>
      <c r="D260" s="177"/>
      <c r="E260" s="177"/>
      <c r="F260" s="177"/>
      <c r="G260" s="252">
        <v>4</v>
      </c>
      <c r="H260" s="177">
        <v>100000</v>
      </c>
      <c r="I260" s="244">
        <f aca="true" t="shared" si="38" ref="I260:I265">G260*H260/1000</f>
        <v>400</v>
      </c>
      <c r="J260" s="244"/>
      <c r="K260" s="177"/>
      <c r="L260" s="244">
        <f aca="true" t="shared" si="39" ref="L260:L268">J260*K260/1000</f>
        <v>0</v>
      </c>
      <c r="M260" s="244">
        <f t="shared" si="30"/>
        <v>-4</v>
      </c>
      <c r="N260" s="244">
        <f t="shared" si="30"/>
        <v>-100000</v>
      </c>
      <c r="O260" s="244">
        <f t="shared" si="31"/>
        <v>-400</v>
      </c>
    </row>
    <row r="261" spans="1:15" ht="17.25">
      <c r="A261" s="177">
        <v>4</v>
      </c>
      <c r="B261" s="108" t="s">
        <v>443</v>
      </c>
      <c r="C261" s="177" t="s">
        <v>1</v>
      </c>
      <c r="D261" s="177"/>
      <c r="E261" s="177"/>
      <c r="F261" s="177"/>
      <c r="G261" s="177">
        <v>4</v>
      </c>
      <c r="H261" s="177">
        <v>150000</v>
      </c>
      <c r="I261" s="244">
        <f t="shared" si="38"/>
        <v>600</v>
      </c>
      <c r="J261" s="244"/>
      <c r="K261" s="177"/>
      <c r="L261" s="244">
        <f t="shared" si="39"/>
        <v>0</v>
      </c>
      <c r="M261" s="244">
        <f t="shared" si="30"/>
        <v>-4</v>
      </c>
      <c r="N261" s="244">
        <f t="shared" si="30"/>
        <v>-150000</v>
      </c>
      <c r="O261" s="244">
        <f t="shared" si="31"/>
        <v>-600</v>
      </c>
    </row>
    <row r="262" spans="1:15" ht="17.25">
      <c r="A262" s="177">
        <v>5</v>
      </c>
      <c r="B262" s="108" t="s">
        <v>925</v>
      </c>
      <c r="C262" s="177" t="s">
        <v>1</v>
      </c>
      <c r="D262" s="177"/>
      <c r="E262" s="177"/>
      <c r="F262" s="177"/>
      <c r="G262" s="177">
        <v>20</v>
      </c>
      <c r="H262" s="177">
        <v>30000</v>
      </c>
      <c r="I262" s="244">
        <f t="shared" si="38"/>
        <v>600</v>
      </c>
      <c r="J262" s="244"/>
      <c r="K262" s="177"/>
      <c r="L262" s="244">
        <f t="shared" si="39"/>
        <v>0</v>
      </c>
      <c r="M262" s="244">
        <f t="shared" si="30"/>
        <v>-20</v>
      </c>
      <c r="N262" s="244">
        <f t="shared" si="30"/>
        <v>-30000</v>
      </c>
      <c r="O262" s="244">
        <f t="shared" si="31"/>
        <v>-600</v>
      </c>
    </row>
    <row r="263" spans="1:15" ht="17.25">
      <c r="A263" s="177">
        <v>6</v>
      </c>
      <c r="B263" s="108" t="s">
        <v>569</v>
      </c>
      <c r="C263" s="177" t="s">
        <v>1</v>
      </c>
      <c r="D263" s="177"/>
      <c r="E263" s="177"/>
      <c r="F263" s="177"/>
      <c r="G263" s="177">
        <v>2</v>
      </c>
      <c r="H263" s="177">
        <v>60000</v>
      </c>
      <c r="I263" s="244">
        <f t="shared" si="38"/>
        <v>120</v>
      </c>
      <c r="J263" s="244"/>
      <c r="K263" s="177"/>
      <c r="L263" s="244">
        <f t="shared" si="39"/>
        <v>0</v>
      </c>
      <c r="M263" s="244">
        <f t="shared" si="30"/>
        <v>-2</v>
      </c>
      <c r="N263" s="244">
        <f t="shared" si="30"/>
        <v>-60000</v>
      </c>
      <c r="O263" s="244">
        <f t="shared" si="31"/>
        <v>-120</v>
      </c>
    </row>
    <row r="264" spans="1:15" ht="17.25">
      <c r="A264" s="177">
        <v>7</v>
      </c>
      <c r="B264" s="108" t="s">
        <v>851</v>
      </c>
      <c r="C264" s="177" t="s">
        <v>1</v>
      </c>
      <c r="D264" s="177"/>
      <c r="E264" s="177"/>
      <c r="F264" s="177"/>
      <c r="G264" s="177">
        <v>5</v>
      </c>
      <c r="H264" s="177">
        <v>15000</v>
      </c>
      <c r="I264" s="244">
        <f t="shared" si="38"/>
        <v>75</v>
      </c>
      <c r="J264" s="244"/>
      <c r="K264" s="177"/>
      <c r="L264" s="244">
        <f t="shared" si="39"/>
        <v>0</v>
      </c>
      <c r="M264" s="244">
        <f t="shared" si="30"/>
        <v>-5</v>
      </c>
      <c r="N264" s="244">
        <f t="shared" si="30"/>
        <v>-15000</v>
      </c>
      <c r="O264" s="244">
        <f t="shared" si="31"/>
        <v>-75</v>
      </c>
    </row>
    <row r="265" spans="1:15" ht="17.25">
      <c r="A265" s="177">
        <v>8</v>
      </c>
      <c r="B265" s="177" t="s">
        <v>812</v>
      </c>
      <c r="C265" s="177"/>
      <c r="D265" s="177"/>
      <c r="E265" s="177"/>
      <c r="F265" s="177"/>
      <c r="G265" s="177">
        <v>1</v>
      </c>
      <c r="H265" s="177">
        <v>250000</v>
      </c>
      <c r="I265" s="244">
        <f t="shared" si="38"/>
        <v>250</v>
      </c>
      <c r="J265" s="244"/>
      <c r="K265" s="177"/>
      <c r="L265" s="244">
        <f t="shared" si="39"/>
        <v>0</v>
      </c>
      <c r="M265" s="244">
        <f t="shared" si="30"/>
        <v>-1</v>
      </c>
      <c r="N265" s="244">
        <f t="shared" si="30"/>
        <v>-250000</v>
      </c>
      <c r="O265" s="244">
        <f t="shared" si="31"/>
        <v>-250</v>
      </c>
    </row>
    <row r="266" spans="1:15" ht="17.25">
      <c r="A266" s="177">
        <v>9</v>
      </c>
      <c r="B266" s="177" t="s">
        <v>980</v>
      </c>
      <c r="C266" s="177"/>
      <c r="D266" s="177"/>
      <c r="E266" s="177"/>
      <c r="F266" s="177"/>
      <c r="G266" s="177"/>
      <c r="H266" s="177"/>
      <c r="I266" s="244"/>
      <c r="J266" s="244">
        <v>2</v>
      </c>
      <c r="K266" s="177">
        <v>370000</v>
      </c>
      <c r="L266" s="244">
        <f t="shared" si="39"/>
        <v>740</v>
      </c>
      <c r="M266" s="244"/>
      <c r="N266" s="244"/>
      <c r="O266" s="244">
        <f t="shared" si="31"/>
        <v>740</v>
      </c>
    </row>
    <row r="267" spans="1:15" ht="17.25">
      <c r="A267" s="177">
        <v>10</v>
      </c>
      <c r="B267" s="177" t="s">
        <v>539</v>
      </c>
      <c r="C267" s="177"/>
      <c r="D267" s="177"/>
      <c r="E267" s="177"/>
      <c r="F267" s="177"/>
      <c r="G267" s="177"/>
      <c r="H267" s="177"/>
      <c r="I267" s="244"/>
      <c r="J267" s="244">
        <v>5</v>
      </c>
      <c r="K267" s="177">
        <v>195000</v>
      </c>
      <c r="L267" s="244">
        <f t="shared" si="39"/>
        <v>975</v>
      </c>
      <c r="M267" s="244"/>
      <c r="N267" s="244"/>
      <c r="O267" s="244">
        <f t="shared" si="31"/>
        <v>975</v>
      </c>
    </row>
    <row r="268" spans="1:15" ht="17.25">
      <c r="A268" s="177">
        <v>11</v>
      </c>
      <c r="B268" s="177" t="s">
        <v>985</v>
      </c>
      <c r="C268" s="177"/>
      <c r="D268" s="177"/>
      <c r="E268" s="177"/>
      <c r="F268" s="177"/>
      <c r="G268" s="177"/>
      <c r="H268" s="177"/>
      <c r="I268" s="244"/>
      <c r="J268" s="244">
        <v>1</v>
      </c>
      <c r="K268" s="177">
        <v>400000</v>
      </c>
      <c r="L268" s="244">
        <f t="shared" si="39"/>
        <v>400</v>
      </c>
      <c r="M268" s="244"/>
      <c r="N268" s="244"/>
      <c r="O268" s="244">
        <f t="shared" si="31"/>
        <v>400</v>
      </c>
    </row>
    <row r="269" spans="1:15" ht="17.25">
      <c r="A269" s="177">
        <v>12</v>
      </c>
      <c r="B269" s="177" t="s">
        <v>518</v>
      </c>
      <c r="C269" s="177"/>
      <c r="D269" s="177"/>
      <c r="E269" s="177"/>
      <c r="F269" s="177"/>
      <c r="G269" s="177"/>
      <c r="H269" s="177"/>
      <c r="I269" s="244"/>
      <c r="J269" s="244">
        <v>0</v>
      </c>
      <c r="K269" s="177">
        <v>0</v>
      </c>
      <c r="L269" s="244">
        <v>0</v>
      </c>
      <c r="M269" s="244"/>
      <c r="N269" s="244"/>
      <c r="O269" s="244">
        <f t="shared" si="31"/>
        <v>0</v>
      </c>
    </row>
    <row r="270" spans="1:15" ht="17.25">
      <c r="A270" s="177"/>
      <c r="B270" s="316" t="s">
        <v>926</v>
      </c>
      <c r="C270" s="250">
        <v>5121</v>
      </c>
      <c r="D270" s="250"/>
      <c r="E270" s="250"/>
      <c r="F270" s="250"/>
      <c r="G270" s="250">
        <f>SUM(G278)</f>
        <v>0</v>
      </c>
      <c r="H270" s="250"/>
      <c r="I270" s="284">
        <f>I274+I275</f>
        <v>83683.4</v>
      </c>
      <c r="J270" s="284">
        <f>SUM(J278:J285)</f>
        <v>0</v>
      </c>
      <c r="K270" s="250"/>
      <c r="L270" s="284">
        <f>SUM(L280:L285)</f>
        <v>0</v>
      </c>
      <c r="M270" s="284">
        <f>J270-G270</f>
        <v>0</v>
      </c>
      <c r="N270" s="284">
        <f>K270-H270</f>
        <v>0</v>
      </c>
      <c r="O270" s="284">
        <f>L270-I270</f>
        <v>-83683.4</v>
      </c>
    </row>
    <row r="271" spans="1:15" ht="17.25">
      <c r="A271" s="254"/>
      <c r="B271" s="106" t="s">
        <v>78</v>
      </c>
      <c r="C271" s="177"/>
      <c r="D271" s="177"/>
      <c r="E271" s="177"/>
      <c r="F271" s="177"/>
      <c r="G271" s="177"/>
      <c r="H271" s="177"/>
      <c r="I271" s="244"/>
      <c r="J271" s="244"/>
      <c r="K271" s="177"/>
      <c r="L271" s="244"/>
      <c r="M271" s="244">
        <f>J271-G271</f>
        <v>0</v>
      </c>
      <c r="N271" s="177"/>
      <c r="O271" s="244">
        <f>L271-I271</f>
        <v>0</v>
      </c>
    </row>
    <row r="272" spans="1:15" ht="34.5">
      <c r="A272" s="254"/>
      <c r="B272" s="100" t="s">
        <v>186</v>
      </c>
      <c r="C272" s="177"/>
      <c r="D272" s="177"/>
      <c r="E272" s="177"/>
      <c r="F272" s="177"/>
      <c r="G272" s="177"/>
      <c r="H272" s="177"/>
      <c r="I272" s="244"/>
      <c r="J272" s="244"/>
      <c r="K272" s="177"/>
      <c r="L272" s="244"/>
      <c r="M272" s="244"/>
      <c r="N272" s="177"/>
      <c r="O272" s="244"/>
    </row>
    <row r="273" spans="1:15" ht="17.25">
      <c r="A273" s="254"/>
      <c r="B273" s="108"/>
      <c r="C273" s="177" t="s">
        <v>1</v>
      </c>
      <c r="D273" s="177"/>
      <c r="E273" s="177"/>
      <c r="F273" s="177"/>
      <c r="G273" s="177"/>
      <c r="H273" s="177"/>
      <c r="I273" s="244"/>
      <c r="J273" s="244"/>
      <c r="K273" s="177"/>
      <c r="L273" s="244"/>
      <c r="M273" s="244"/>
      <c r="N273" s="177"/>
      <c r="O273" s="244"/>
    </row>
    <row r="274" spans="1:15" ht="17.25">
      <c r="A274" s="254">
        <v>1</v>
      </c>
      <c r="B274" s="251" t="s">
        <v>927</v>
      </c>
      <c r="C274" s="177" t="s">
        <v>1</v>
      </c>
      <c r="D274" s="177"/>
      <c r="E274" s="177"/>
      <c r="F274" s="177"/>
      <c r="G274" s="252">
        <v>1</v>
      </c>
      <c r="H274" s="177">
        <v>16833400</v>
      </c>
      <c r="I274" s="177">
        <f>(G274*H274)/1000</f>
        <v>16833.4</v>
      </c>
      <c r="J274" s="244"/>
      <c r="K274" s="177"/>
      <c r="L274" s="244"/>
      <c r="M274" s="244"/>
      <c r="N274" s="244"/>
      <c r="O274" s="244"/>
    </row>
    <row r="275" spans="1:15" ht="17.25">
      <c r="A275" s="254">
        <v>2</v>
      </c>
      <c r="B275" s="251" t="s">
        <v>927</v>
      </c>
      <c r="C275" s="177"/>
      <c r="D275" s="177"/>
      <c r="E275" s="177"/>
      <c r="F275" s="177"/>
      <c r="G275" s="252">
        <v>5</v>
      </c>
      <c r="H275" s="177">
        <v>13370000</v>
      </c>
      <c r="I275" s="177">
        <f>(G275*H275)/1000</f>
        <v>66850</v>
      </c>
      <c r="J275" s="244"/>
      <c r="K275" s="177"/>
      <c r="L275" s="244"/>
      <c r="M275" s="244"/>
      <c r="N275" s="244"/>
      <c r="O275" s="244"/>
    </row>
    <row r="276" spans="1:15" ht="17.25">
      <c r="A276" s="254"/>
      <c r="B276" s="253"/>
      <c r="C276" s="254"/>
      <c r="D276" s="254"/>
      <c r="E276" s="254"/>
      <c r="F276" s="254"/>
      <c r="G276" s="255"/>
      <c r="H276" s="254"/>
      <c r="I276" s="254"/>
      <c r="J276" s="317"/>
      <c r="K276" s="254"/>
      <c r="L276" s="317"/>
      <c r="M276" s="317"/>
      <c r="N276" s="317"/>
      <c r="O276" s="317"/>
    </row>
    <row r="277" spans="1:15" ht="17.25">
      <c r="A277" s="254"/>
      <c r="B277" s="253"/>
      <c r="C277" s="254"/>
      <c r="D277" s="254"/>
      <c r="E277" s="254"/>
      <c r="F277" s="254"/>
      <c r="G277" s="255"/>
      <c r="H277" s="254"/>
      <c r="I277" s="254"/>
      <c r="J277" s="317"/>
      <c r="K277" s="254"/>
      <c r="L277" s="317"/>
      <c r="M277" s="317"/>
      <c r="N277" s="317"/>
      <c r="O277" s="317"/>
    </row>
    <row r="280" spans="1:11" ht="17.25">
      <c r="A280" s="318" t="s">
        <v>7</v>
      </c>
      <c r="B280" s="1029" t="s">
        <v>203</v>
      </c>
      <c r="C280" s="1029"/>
      <c r="D280" s="1029"/>
      <c r="E280" s="1029"/>
      <c r="F280" s="1029"/>
      <c r="G280" s="1029"/>
      <c r="H280" s="1029"/>
      <c r="I280" s="1029"/>
      <c r="J280" s="519"/>
      <c r="K280" s="519"/>
    </row>
  </sheetData>
  <sheetProtection/>
  <mergeCells count="8">
    <mergeCell ref="L2:O2"/>
    <mergeCell ref="B280:I280"/>
    <mergeCell ref="G7:I7"/>
    <mergeCell ref="J7:L7"/>
    <mergeCell ref="M7:O7"/>
    <mergeCell ref="A4:G4"/>
    <mergeCell ref="B5:O5"/>
    <mergeCell ref="D7:F7"/>
  </mergeCells>
  <printOptions/>
  <pageMargins left="0.75" right="0.25" top="0.23" bottom="0.29" header="0.21" footer="0.1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F9" sqref="F9"/>
    </sheetView>
  </sheetViews>
  <sheetFormatPr defaultColWidth="10.00390625" defaultRowHeight="12.75"/>
  <cols>
    <col min="1" max="1" width="10.00390625" style="976" customWidth="1"/>
    <col min="2" max="2" width="20.00390625" style="976" customWidth="1"/>
    <col min="3" max="16384" width="10.00390625" style="976" customWidth="1"/>
  </cols>
  <sheetData>
    <row r="1" spans="1:16" s="960" customFormat="1" ht="23.25" customHeight="1">
      <c r="A1" s="955"/>
      <c r="B1" s="956"/>
      <c r="C1" s="957"/>
      <c r="D1" s="957"/>
      <c r="E1" s="957"/>
      <c r="F1" s="957"/>
      <c r="G1" s="957"/>
      <c r="H1" s="957"/>
      <c r="I1" s="956"/>
      <c r="J1" s="956"/>
      <c r="K1" s="957"/>
      <c r="L1" s="957"/>
      <c r="M1" s="957"/>
      <c r="N1" s="958" t="s">
        <v>344</v>
      </c>
      <c r="O1" s="958"/>
      <c r="P1" s="959"/>
    </row>
    <row r="2" spans="1:16" s="960" customFormat="1" ht="15" customHeight="1">
      <c r="A2" s="955"/>
      <c r="B2" s="958"/>
      <c r="C2" s="958"/>
      <c r="D2" s="958"/>
      <c r="E2" s="957"/>
      <c r="F2" s="958"/>
      <c r="G2" s="958"/>
      <c r="H2" s="957"/>
      <c r="I2" s="958"/>
      <c r="J2" s="958"/>
      <c r="K2" s="957"/>
      <c r="L2" s="958"/>
      <c r="M2" s="1042" t="s">
        <v>9</v>
      </c>
      <c r="N2" s="1042"/>
      <c r="O2" s="961"/>
      <c r="P2" s="961"/>
    </row>
    <row r="3" spans="2:16" s="960" customFormat="1" ht="41.25" thickBot="1">
      <c r="B3" s="962" t="s">
        <v>1104</v>
      </c>
      <c r="C3" s="963"/>
      <c r="D3" s="964"/>
      <c r="E3" s="965"/>
      <c r="F3" s="963"/>
      <c r="G3" s="964"/>
      <c r="H3" s="965"/>
      <c r="I3" s="963"/>
      <c r="J3" s="964"/>
      <c r="K3" s="965"/>
      <c r="L3" s="963"/>
      <c r="M3" s="964"/>
      <c r="N3" s="965"/>
      <c r="O3" s="965"/>
      <c r="P3" s="959"/>
    </row>
    <row r="4" s="960" customFormat="1" ht="13.5"/>
    <row r="5" spans="1:15" s="960" customFormat="1" ht="13.5">
      <c r="A5" s="966" t="s">
        <v>58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</row>
    <row r="6" spans="1:15" s="960" customFormat="1" ht="13.5">
      <c r="A6" s="967" t="s">
        <v>983</v>
      </c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</row>
    <row r="7" spans="14:15" s="960" customFormat="1" ht="13.5">
      <c r="N7" s="968" t="s">
        <v>164</v>
      </c>
      <c r="O7" s="968"/>
    </row>
    <row r="8" spans="1:15" ht="31.5" customHeight="1">
      <c r="A8" s="1038" t="s">
        <v>64</v>
      </c>
      <c r="B8" s="1040" t="s">
        <v>311</v>
      </c>
      <c r="C8" s="969" t="s">
        <v>1093</v>
      </c>
      <c r="D8" s="970"/>
      <c r="E8" s="971"/>
      <c r="F8" s="969" t="s">
        <v>1094</v>
      </c>
      <c r="G8" s="970"/>
      <c r="H8" s="971"/>
      <c r="I8" s="969" t="s">
        <v>1095</v>
      </c>
      <c r="J8" s="970"/>
      <c r="K8" s="971"/>
      <c r="L8" s="972" t="s">
        <v>1096</v>
      </c>
      <c r="M8" s="973"/>
      <c r="N8" s="974"/>
      <c r="O8" s="975"/>
    </row>
    <row r="9" spans="1:15" ht="108">
      <c r="A9" s="1039"/>
      <c r="B9" s="1041"/>
      <c r="C9" s="977" t="s">
        <v>338</v>
      </c>
      <c r="D9" s="977" t="s">
        <v>336</v>
      </c>
      <c r="E9" s="977" t="s">
        <v>322</v>
      </c>
      <c r="F9" s="977" t="s">
        <v>338</v>
      </c>
      <c r="G9" s="977" t="s">
        <v>337</v>
      </c>
      <c r="H9" s="977" t="s">
        <v>330</v>
      </c>
      <c r="I9" s="977" t="s">
        <v>338</v>
      </c>
      <c r="J9" s="977" t="s">
        <v>337</v>
      </c>
      <c r="K9" s="977" t="s">
        <v>331</v>
      </c>
      <c r="L9" s="977" t="s">
        <v>338</v>
      </c>
      <c r="M9" s="977" t="s">
        <v>339</v>
      </c>
      <c r="N9" s="977" t="s">
        <v>322</v>
      </c>
      <c r="O9" s="977" t="s">
        <v>332</v>
      </c>
    </row>
    <row r="10" spans="1:15" s="981" customFormat="1" ht="13.5">
      <c r="A10" s="978">
        <v>1</v>
      </c>
      <c r="B10" s="979">
        <v>2</v>
      </c>
      <c r="C10" s="980">
        <v>3</v>
      </c>
      <c r="D10" s="979">
        <v>4</v>
      </c>
      <c r="E10" s="980">
        <v>5</v>
      </c>
      <c r="F10" s="979">
        <v>6</v>
      </c>
      <c r="G10" s="980">
        <v>7</v>
      </c>
      <c r="H10" s="979">
        <v>8</v>
      </c>
      <c r="I10" s="980">
        <v>9</v>
      </c>
      <c r="J10" s="979">
        <v>10</v>
      </c>
      <c r="K10" s="980">
        <v>11</v>
      </c>
      <c r="L10" s="979">
        <v>12</v>
      </c>
      <c r="M10" s="980">
        <v>13</v>
      </c>
      <c r="N10" s="979">
        <v>14</v>
      </c>
      <c r="O10" s="979"/>
    </row>
    <row r="11" spans="1:15" s="985" customFormat="1" ht="18.75" customHeight="1">
      <c r="A11" s="982"/>
      <c r="B11" s="983" t="s">
        <v>323</v>
      </c>
      <c r="C11" s="984">
        <f>+C13+C22</f>
        <v>0</v>
      </c>
      <c r="D11" s="984" t="s">
        <v>1</v>
      </c>
      <c r="E11" s="984">
        <f>+E13+E22</f>
        <v>0</v>
      </c>
      <c r="F11" s="984">
        <f>+F13+F22</f>
        <v>65</v>
      </c>
      <c r="G11" s="984" t="s">
        <v>1</v>
      </c>
      <c r="H11" s="984">
        <f>+H13+H22</f>
        <v>49800</v>
      </c>
      <c r="I11" s="984">
        <f>+I13+I22</f>
        <v>65</v>
      </c>
      <c r="J11" s="984" t="s">
        <v>1</v>
      </c>
      <c r="K11" s="984">
        <f>+K13+K22</f>
        <v>49800</v>
      </c>
      <c r="L11" s="984">
        <f>+L13+L22</f>
        <v>0</v>
      </c>
      <c r="M11" s="984" t="s">
        <v>1</v>
      </c>
      <c r="N11" s="984">
        <f>+N13+N22</f>
        <v>0</v>
      </c>
      <c r="O11" s="984"/>
    </row>
    <row r="12" spans="1:15" ht="13.5">
      <c r="A12" s="986"/>
      <c r="B12" s="986"/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</row>
    <row r="13" spans="1:15" s="985" customFormat="1" ht="40.5">
      <c r="A13" s="988"/>
      <c r="B13" s="989" t="s">
        <v>310</v>
      </c>
      <c r="C13" s="984">
        <f>+C15+C18+C21</f>
        <v>0</v>
      </c>
      <c r="D13" s="984" t="s">
        <v>1</v>
      </c>
      <c r="E13" s="984">
        <f>+E15+E18+E21</f>
        <v>0</v>
      </c>
      <c r="F13" s="984">
        <f>+F15+F18+F21</f>
        <v>65</v>
      </c>
      <c r="G13" s="984" t="s">
        <v>1</v>
      </c>
      <c r="H13" s="984">
        <f>+H15+H18+H21</f>
        <v>49800</v>
      </c>
      <c r="I13" s="984">
        <f>+I15+I18+I21</f>
        <v>65</v>
      </c>
      <c r="J13" s="984" t="s">
        <v>1</v>
      </c>
      <c r="K13" s="984">
        <f>+K15+K18+K21</f>
        <v>49800</v>
      </c>
      <c r="L13" s="984">
        <f>+L15+L18+L21</f>
        <v>0</v>
      </c>
      <c r="M13" s="984" t="s">
        <v>1</v>
      </c>
      <c r="N13" s="984">
        <f>+N15+N18+N21</f>
        <v>0</v>
      </c>
      <c r="O13" s="984"/>
    </row>
    <row r="14" spans="1:15" ht="13.5">
      <c r="A14" s="990"/>
      <c r="B14" s="986" t="s">
        <v>65</v>
      </c>
      <c r="C14" s="987"/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</row>
    <row r="15" spans="1:15" s="985" customFormat="1" ht="13.5">
      <c r="A15" s="988">
        <v>1</v>
      </c>
      <c r="B15" s="991" t="s">
        <v>307</v>
      </c>
      <c r="C15" s="992">
        <f>SUM(C16:C17)</f>
        <v>0</v>
      </c>
      <c r="D15" s="992" t="s">
        <v>1</v>
      </c>
      <c r="E15" s="992">
        <f>SUM(E16:E17)</f>
        <v>0</v>
      </c>
      <c r="F15" s="992">
        <f>SUM(F16:F17)</f>
        <v>65</v>
      </c>
      <c r="G15" s="992" t="s">
        <v>1</v>
      </c>
      <c r="H15" s="992">
        <f>SUM(H16:H17)</f>
        <v>49800</v>
      </c>
      <c r="I15" s="992">
        <f>SUM(I16:I17)</f>
        <v>65</v>
      </c>
      <c r="J15" s="992" t="s">
        <v>1</v>
      </c>
      <c r="K15" s="992">
        <f>SUM(K16:K17)</f>
        <v>49800</v>
      </c>
      <c r="L15" s="992">
        <f>SUM(L16:L17)</f>
        <v>0</v>
      </c>
      <c r="M15" s="992" t="s">
        <v>1</v>
      </c>
      <c r="N15" s="992">
        <f>SUM(N16:N17)</f>
        <v>0</v>
      </c>
      <c r="O15" s="992"/>
    </row>
    <row r="16" spans="1:19" ht="13.5">
      <c r="A16" s="990">
        <v>1.1</v>
      </c>
      <c r="B16" s="986" t="s">
        <v>308</v>
      </c>
      <c r="C16" s="987">
        <v>0</v>
      </c>
      <c r="D16" s="987"/>
      <c r="E16" s="993">
        <f>+C16*D16</f>
        <v>0</v>
      </c>
      <c r="F16" s="987">
        <v>60</v>
      </c>
      <c r="G16" s="987">
        <v>380</v>
      </c>
      <c r="H16" s="993">
        <f>+F16*G16</f>
        <v>22800</v>
      </c>
      <c r="I16" s="987">
        <v>60</v>
      </c>
      <c r="J16" s="987">
        <v>380</v>
      </c>
      <c r="K16" s="993">
        <f>+I16*J16</f>
        <v>22800</v>
      </c>
      <c r="L16" s="987">
        <f aca="true" t="shared" si="0" ref="L16:M20">+I16-F16</f>
        <v>0</v>
      </c>
      <c r="M16" s="987">
        <f>+J16-G16</f>
        <v>0</v>
      </c>
      <c r="N16" s="987">
        <f>+K16-H16</f>
        <v>0</v>
      </c>
      <c r="O16" s="987"/>
      <c r="S16" s="985"/>
    </row>
    <row r="17" spans="1:19" ht="13.5">
      <c r="A17" s="990">
        <v>1.2</v>
      </c>
      <c r="B17" s="986" t="s">
        <v>1097</v>
      </c>
      <c r="C17" s="987">
        <v>0</v>
      </c>
      <c r="D17" s="987"/>
      <c r="E17" s="993">
        <f>+C17*D17</f>
        <v>0</v>
      </c>
      <c r="F17" s="987">
        <v>5</v>
      </c>
      <c r="G17" s="987">
        <v>5400</v>
      </c>
      <c r="H17" s="993">
        <f>+F17*G17</f>
        <v>27000</v>
      </c>
      <c r="I17" s="987">
        <v>5</v>
      </c>
      <c r="J17" s="987">
        <v>5400</v>
      </c>
      <c r="K17" s="993">
        <f>+I17*J17</f>
        <v>27000</v>
      </c>
      <c r="L17" s="987">
        <f t="shared" si="0"/>
        <v>0</v>
      </c>
      <c r="M17" s="987">
        <f t="shared" si="0"/>
        <v>0</v>
      </c>
      <c r="N17" s="987">
        <f>+K17-H17</f>
        <v>0</v>
      </c>
      <c r="O17" s="987"/>
      <c r="S17" s="985"/>
    </row>
    <row r="18" spans="1:15" s="985" customFormat="1" ht="13.5">
      <c r="A18" s="985">
        <v>2</v>
      </c>
      <c r="B18" s="991" t="s">
        <v>309</v>
      </c>
      <c r="C18" s="992">
        <f>SUM(C19:C20)</f>
        <v>0</v>
      </c>
      <c r="D18" s="992" t="s">
        <v>1</v>
      </c>
      <c r="E18" s="992">
        <f>SUM(E19:E20)</f>
        <v>0</v>
      </c>
      <c r="F18" s="992">
        <f>SUM(F19:F20)</f>
        <v>0</v>
      </c>
      <c r="G18" s="992" t="s">
        <v>1</v>
      </c>
      <c r="H18" s="992">
        <f>SUM(H19:H20)</f>
        <v>0</v>
      </c>
      <c r="I18" s="992">
        <f>SUM(I19:I20)</f>
        <v>0</v>
      </c>
      <c r="J18" s="992" t="s">
        <v>1</v>
      </c>
      <c r="K18" s="992">
        <f>SUM(K19:K20)</f>
        <v>0</v>
      </c>
      <c r="L18" s="992">
        <f>SUM(L19:L20)</f>
        <v>0</v>
      </c>
      <c r="M18" s="992" t="s">
        <v>1</v>
      </c>
      <c r="N18" s="992">
        <f>SUM(N19:N20)</f>
        <v>0</v>
      </c>
      <c r="O18" s="992"/>
    </row>
    <row r="19" spans="1:15" ht="13.5">
      <c r="A19" s="990">
        <v>2.1</v>
      </c>
      <c r="B19" s="986" t="s">
        <v>308</v>
      </c>
      <c r="C19" s="987"/>
      <c r="D19" s="987"/>
      <c r="E19" s="993">
        <f>+C19*D19</f>
        <v>0</v>
      </c>
      <c r="F19" s="987"/>
      <c r="G19" s="987"/>
      <c r="H19" s="993">
        <f>+F19*G19</f>
        <v>0</v>
      </c>
      <c r="I19" s="987"/>
      <c r="J19" s="987"/>
      <c r="K19" s="993">
        <f>+I19*J19</f>
        <v>0</v>
      </c>
      <c r="L19" s="987">
        <f t="shared" si="0"/>
        <v>0</v>
      </c>
      <c r="M19" s="987">
        <f t="shared" si="0"/>
        <v>0</v>
      </c>
      <c r="N19" s="987">
        <f>+K19-H19</f>
        <v>0</v>
      </c>
      <c r="O19" s="987"/>
    </row>
    <row r="20" spans="1:15" ht="13.5">
      <c r="A20" s="990">
        <v>2.2</v>
      </c>
      <c r="B20" s="986" t="s">
        <v>1097</v>
      </c>
      <c r="C20" s="987"/>
      <c r="D20" s="987"/>
      <c r="E20" s="993">
        <f>+C20*D20</f>
        <v>0</v>
      </c>
      <c r="F20" s="987"/>
      <c r="G20" s="987"/>
      <c r="H20" s="993">
        <f>+F20*G20</f>
        <v>0</v>
      </c>
      <c r="I20" s="987"/>
      <c r="J20" s="987"/>
      <c r="K20" s="993">
        <f>+I20*J20</f>
        <v>0</v>
      </c>
      <c r="L20" s="987">
        <f t="shared" si="0"/>
        <v>0</v>
      </c>
      <c r="M20" s="987">
        <f t="shared" si="0"/>
        <v>0</v>
      </c>
      <c r="N20" s="987">
        <f>+K20-H20</f>
        <v>0</v>
      </c>
      <c r="O20" s="987"/>
    </row>
    <row r="21" spans="1:15" ht="13.5">
      <c r="A21" s="985">
        <v>3</v>
      </c>
      <c r="B21" s="991" t="s">
        <v>335</v>
      </c>
      <c r="C21" s="992"/>
      <c r="D21" s="992"/>
      <c r="E21" s="994">
        <f>+C21*D21</f>
        <v>0</v>
      </c>
      <c r="F21" s="992"/>
      <c r="G21" s="992"/>
      <c r="H21" s="994">
        <f>+F21*G21</f>
        <v>0</v>
      </c>
      <c r="I21" s="992"/>
      <c r="J21" s="992"/>
      <c r="K21" s="994">
        <f>+I21*J21</f>
        <v>0</v>
      </c>
      <c r="L21" s="992">
        <f>+I21-F21</f>
        <v>0</v>
      </c>
      <c r="M21" s="992">
        <f>+J21-G21</f>
        <v>0</v>
      </c>
      <c r="N21" s="992">
        <f>+K21-H21</f>
        <v>0</v>
      </c>
      <c r="O21" s="992"/>
    </row>
    <row r="22" spans="1:15" s="985" customFormat="1" ht="27">
      <c r="A22" s="988"/>
      <c r="B22" s="989" t="s">
        <v>312</v>
      </c>
      <c r="C22" s="984">
        <f>SUM(C24:C25)</f>
        <v>0</v>
      </c>
      <c r="D22" s="984" t="s">
        <v>1</v>
      </c>
      <c r="E22" s="984">
        <f>SUM(E24:E25)</f>
        <v>0</v>
      </c>
      <c r="F22" s="984">
        <f aca="true" t="shared" si="1" ref="F22:N22">SUM(F24:F25)</f>
        <v>0</v>
      </c>
      <c r="G22" s="984" t="s">
        <v>1</v>
      </c>
      <c r="H22" s="984">
        <f t="shared" si="1"/>
        <v>0</v>
      </c>
      <c r="I22" s="984">
        <f t="shared" si="1"/>
        <v>0</v>
      </c>
      <c r="J22" s="984" t="s">
        <v>1</v>
      </c>
      <c r="K22" s="984">
        <f t="shared" si="1"/>
        <v>0</v>
      </c>
      <c r="L22" s="984">
        <f t="shared" si="1"/>
        <v>0</v>
      </c>
      <c r="M22" s="984" t="s">
        <v>1</v>
      </c>
      <c r="N22" s="984">
        <f t="shared" si="1"/>
        <v>0</v>
      </c>
      <c r="O22" s="984"/>
    </row>
    <row r="23" spans="1:15" ht="13.5">
      <c r="A23" s="986"/>
      <c r="B23" s="995" t="s">
        <v>315</v>
      </c>
      <c r="C23" s="987"/>
      <c r="D23" s="987"/>
      <c r="E23" s="993"/>
      <c r="F23" s="987"/>
      <c r="G23" s="987"/>
      <c r="H23" s="993"/>
      <c r="I23" s="987"/>
      <c r="J23" s="987"/>
      <c r="K23" s="993"/>
      <c r="L23" s="987"/>
      <c r="M23" s="987"/>
      <c r="N23" s="993"/>
      <c r="O23" s="993"/>
    </row>
    <row r="24" spans="1:15" ht="13.5">
      <c r="A24" s="986" t="s">
        <v>313</v>
      </c>
      <c r="B24" s="986" t="s">
        <v>314</v>
      </c>
      <c r="C24" s="987"/>
      <c r="D24" s="987"/>
      <c r="E24" s="993"/>
      <c r="F24" s="987"/>
      <c r="G24" s="987"/>
      <c r="H24" s="993"/>
      <c r="I24" s="987"/>
      <c r="J24" s="987"/>
      <c r="K24" s="993"/>
      <c r="L24" s="987"/>
      <c r="M24" s="987"/>
      <c r="N24" s="993"/>
      <c r="O24" s="993"/>
    </row>
    <row r="25" spans="1:15" ht="13.5">
      <c r="A25" s="986"/>
      <c r="B25" s="986"/>
      <c r="C25" s="987"/>
      <c r="D25" s="987"/>
      <c r="E25" s="993"/>
      <c r="F25" s="987"/>
      <c r="G25" s="987"/>
      <c r="H25" s="993"/>
      <c r="I25" s="987"/>
      <c r="J25" s="987"/>
      <c r="K25" s="993"/>
      <c r="L25" s="987"/>
      <c r="M25" s="987"/>
      <c r="N25" s="993"/>
      <c r="O25" s="993"/>
    </row>
    <row r="27" spans="1:2" ht="13.5">
      <c r="A27" s="976" t="s">
        <v>7</v>
      </c>
      <c r="B27" s="976" t="s">
        <v>340</v>
      </c>
    </row>
  </sheetData>
  <sheetProtection/>
  <mergeCells count="3">
    <mergeCell ref="A8:A9"/>
    <mergeCell ref="B8:B9"/>
    <mergeCell ref="M2:N2"/>
  </mergeCells>
  <printOptions/>
  <pageMargins left="0.25" right="0.33" top="0.7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6"/>
  <sheetViews>
    <sheetView zoomScalePageLayoutView="0" workbookViewId="0" topLeftCell="A1">
      <selection activeCell="C50" sqref="C50"/>
    </sheetView>
  </sheetViews>
  <sheetFormatPr defaultColWidth="9.140625" defaultRowHeight="12.75"/>
  <cols>
    <col min="1" max="1" width="6.28125" style="3" customWidth="1"/>
    <col min="2" max="2" width="4.28125" style="2" customWidth="1"/>
    <col min="3" max="3" width="47.421875" style="18" customWidth="1"/>
    <col min="4" max="4" width="11.140625" style="16" customWidth="1"/>
    <col min="5" max="5" width="18.7109375" style="16" customWidth="1"/>
    <col min="6" max="6" width="20.00390625" style="16" customWidth="1"/>
    <col min="7" max="7" width="17.57421875" style="16" customWidth="1"/>
    <col min="8" max="8" width="20.00390625" style="16" customWidth="1"/>
    <col min="9" max="9" width="15.7109375" style="2" customWidth="1"/>
    <col min="10" max="10" width="16.140625" style="3" customWidth="1"/>
    <col min="11" max="11" width="13.421875" style="3" customWidth="1"/>
    <col min="12" max="12" width="14.00390625" style="2" customWidth="1"/>
    <col min="13" max="13" width="17.7109375" style="2" customWidth="1"/>
    <col min="14" max="14" width="14.00390625" style="3" bestFit="1" customWidth="1"/>
    <col min="15" max="16384" width="9.140625" style="3" customWidth="1"/>
  </cols>
  <sheetData>
    <row r="1" spans="2:11" s="11" customFormat="1" ht="12.75">
      <c r="B1" s="445"/>
      <c r="C1" s="446"/>
      <c r="D1" s="447"/>
      <c r="E1" s="447"/>
      <c r="F1" s="447"/>
      <c r="G1" s="447"/>
      <c r="J1" s="448"/>
      <c r="K1" s="448"/>
    </row>
    <row r="2" spans="2:11" s="450" customFormat="1" ht="15.75">
      <c r="B2" s="54"/>
      <c r="C2" s="93"/>
      <c r="D2" s="449"/>
      <c r="E2" s="449"/>
      <c r="F2" s="449"/>
      <c r="G2" s="449"/>
      <c r="H2" s="513" t="s">
        <v>179</v>
      </c>
      <c r="J2" s="448"/>
      <c r="K2" s="448"/>
    </row>
    <row r="3" spans="2:11" s="450" customFormat="1" ht="18" customHeight="1" thickBot="1">
      <c r="B3" s="11"/>
      <c r="C3" s="8" t="s">
        <v>1102</v>
      </c>
      <c r="D3" s="58"/>
      <c r="E3" s="4"/>
      <c r="F3" s="451"/>
      <c r="G3" s="4"/>
      <c r="H3" s="90" t="s">
        <v>9</v>
      </c>
      <c r="I3" s="90"/>
      <c r="J3" s="448"/>
      <c r="K3" s="448"/>
    </row>
    <row r="4" spans="2:13" s="448" customFormat="1" ht="31.5" customHeight="1">
      <c r="B4" s="1049" t="s">
        <v>58</v>
      </c>
      <c r="C4" s="1049"/>
      <c r="D4" s="1049"/>
      <c r="E4" s="1049"/>
      <c r="F4" s="1049"/>
      <c r="G4" s="1049"/>
      <c r="H4" s="1049"/>
      <c r="L4" s="452"/>
      <c r="M4" s="452"/>
    </row>
    <row r="5" spans="2:13" s="448" customFormat="1" ht="16.5" customHeight="1">
      <c r="B5" s="1050" t="s">
        <v>1052</v>
      </c>
      <c r="C5" s="1050"/>
      <c r="D5" s="1050"/>
      <c r="E5" s="1050"/>
      <c r="F5" s="1050"/>
      <c r="G5" s="1050"/>
      <c r="H5" s="1050"/>
      <c r="L5" s="452"/>
      <c r="M5" s="452"/>
    </row>
    <row r="6" spans="2:13" s="448" customFormat="1" ht="59.25" customHeight="1">
      <c r="B6" s="453"/>
      <c r="C6" s="385" t="s">
        <v>1053</v>
      </c>
      <c r="D6" s="385"/>
      <c r="E6" s="385"/>
      <c r="F6" s="385"/>
      <c r="G6" s="385"/>
      <c r="H6" s="385"/>
      <c r="L6" s="452"/>
      <c r="M6" s="452"/>
    </row>
    <row r="7" spans="2:13" s="6" customFormat="1" ht="12">
      <c r="B7" s="452"/>
      <c r="C7" s="454"/>
      <c r="D7" s="454"/>
      <c r="E7" s="454"/>
      <c r="F7" s="454"/>
      <c r="G7" s="454"/>
      <c r="H7" s="454"/>
      <c r="I7" s="448"/>
      <c r="J7" s="448"/>
      <c r="K7" s="448"/>
      <c r="L7" s="452"/>
      <c r="M7" s="452"/>
    </row>
    <row r="8" spans="2:13" ht="12.75">
      <c r="B8" s="455"/>
      <c r="C8" s="456"/>
      <c r="D8" s="456"/>
      <c r="E8" s="457"/>
      <c r="F8" s="457"/>
      <c r="G8" s="457"/>
      <c r="H8" s="458"/>
      <c r="I8" s="3"/>
      <c r="L8" s="3"/>
      <c r="M8" s="3"/>
    </row>
    <row r="9" spans="2:13" ht="34.5" customHeight="1">
      <c r="B9" s="459"/>
      <c r="C9" s="460" t="s">
        <v>1054</v>
      </c>
      <c r="D9" s="461">
        <v>155</v>
      </c>
      <c r="E9" s="462"/>
      <c r="F9" s="463"/>
      <c r="G9" s="463"/>
      <c r="H9" s="464"/>
      <c r="I9" s="3"/>
      <c r="L9" s="3"/>
      <c r="M9" s="3"/>
    </row>
    <row r="10" spans="2:13" ht="34.5" customHeight="1">
      <c r="B10" s="417"/>
      <c r="C10" s="465" t="s">
        <v>1055</v>
      </c>
      <c r="D10" s="466">
        <v>13</v>
      </c>
      <c r="E10" s="467"/>
      <c r="F10" s="468"/>
      <c r="G10" s="468"/>
      <c r="H10" s="469"/>
      <c r="I10" s="3"/>
      <c r="L10" s="3"/>
      <c r="M10" s="3"/>
    </row>
    <row r="11" spans="2:13" ht="34.5" customHeight="1">
      <c r="B11" s="1051" t="s">
        <v>248</v>
      </c>
      <c r="C11" s="1053" t="s">
        <v>316</v>
      </c>
      <c r="D11" s="470"/>
      <c r="E11" s="1055" t="s">
        <v>1056</v>
      </c>
      <c r="F11" s="1056"/>
      <c r="G11" s="1056"/>
      <c r="H11" s="1057"/>
      <c r="I11" s="3"/>
      <c r="L11" s="3"/>
      <c r="M11" s="3"/>
    </row>
    <row r="12" spans="2:13" ht="60">
      <c r="B12" s="1052"/>
      <c r="C12" s="1054"/>
      <c r="D12" s="471" t="s">
        <v>1057</v>
      </c>
      <c r="E12" s="472" t="s">
        <v>317</v>
      </c>
      <c r="F12" s="472" t="s">
        <v>318</v>
      </c>
      <c r="G12" s="472" t="s">
        <v>1058</v>
      </c>
      <c r="H12" s="473" t="s">
        <v>1059</v>
      </c>
      <c r="I12" s="3"/>
      <c r="L12" s="3"/>
      <c r="M12" s="3"/>
    </row>
    <row r="13" spans="2:13" ht="21.75" customHeight="1">
      <c r="B13" s="417">
        <v>1</v>
      </c>
      <c r="C13" s="14" t="s">
        <v>220</v>
      </c>
      <c r="D13" s="474">
        <v>1</v>
      </c>
      <c r="E13" s="475">
        <v>20000</v>
      </c>
      <c r="F13" s="475">
        <v>10000</v>
      </c>
      <c r="G13" s="476">
        <f>+(F13+E13)*D13*12</f>
        <v>360000</v>
      </c>
      <c r="H13" s="475">
        <f>+G13*1.2</f>
        <v>432000</v>
      </c>
      <c r="I13" s="3"/>
      <c r="L13" s="3"/>
      <c r="M13" s="3"/>
    </row>
    <row r="14" spans="2:13" ht="24">
      <c r="B14" s="417">
        <v>2</v>
      </c>
      <c r="C14" s="14" t="s">
        <v>1060</v>
      </c>
      <c r="D14" s="474">
        <v>6</v>
      </c>
      <c r="E14" s="475">
        <v>5000</v>
      </c>
      <c r="F14" s="475">
        <v>5000</v>
      </c>
      <c r="G14" s="476">
        <f aca="true" t="shared" si="0" ref="G14:G27">+(F14+E14)*D14*12</f>
        <v>720000</v>
      </c>
      <c r="H14" s="475">
        <f aca="true" t="shared" si="1" ref="H14:H27">+G14*1.2</f>
        <v>864000</v>
      </c>
      <c r="I14" s="3"/>
      <c r="L14" s="3"/>
      <c r="M14" s="3"/>
    </row>
    <row r="15" spans="2:13" ht="12.75">
      <c r="B15" s="417">
        <v>3</v>
      </c>
      <c r="C15" s="14" t="s">
        <v>59</v>
      </c>
      <c r="D15" s="474">
        <v>4</v>
      </c>
      <c r="E15" s="475">
        <v>2000</v>
      </c>
      <c r="F15" s="475"/>
      <c r="G15" s="476">
        <f t="shared" si="0"/>
        <v>96000</v>
      </c>
      <c r="H15" s="475">
        <f t="shared" si="1"/>
        <v>115200</v>
      </c>
      <c r="I15" s="3"/>
      <c r="L15" s="3"/>
      <c r="M15" s="3"/>
    </row>
    <row r="16" spans="2:13" ht="12.75">
      <c r="B16" s="417">
        <v>4</v>
      </c>
      <c r="C16" s="14" t="s">
        <v>60</v>
      </c>
      <c r="D16" s="474">
        <v>1</v>
      </c>
      <c r="E16" s="475">
        <v>2000</v>
      </c>
      <c r="F16" s="475"/>
      <c r="G16" s="476">
        <f t="shared" si="0"/>
        <v>24000</v>
      </c>
      <c r="H16" s="475">
        <f t="shared" si="1"/>
        <v>28800</v>
      </c>
      <c r="I16" s="3"/>
      <c r="L16" s="3"/>
      <c r="M16" s="3"/>
    </row>
    <row r="17" spans="2:13" ht="12.75">
      <c r="B17" s="417">
        <v>5</v>
      </c>
      <c r="C17" s="14" t="s">
        <v>61</v>
      </c>
      <c r="D17" s="474">
        <v>1</v>
      </c>
      <c r="E17" s="475">
        <v>2000</v>
      </c>
      <c r="F17" s="475"/>
      <c r="G17" s="476">
        <f t="shared" si="0"/>
        <v>24000</v>
      </c>
      <c r="H17" s="475">
        <f t="shared" si="1"/>
        <v>28800</v>
      </c>
      <c r="I17" s="3"/>
      <c r="L17" s="3"/>
      <c r="M17" s="3"/>
    </row>
    <row r="18" spans="2:13" ht="24">
      <c r="B18" s="417">
        <v>6</v>
      </c>
      <c r="C18" s="14" t="s">
        <v>1061</v>
      </c>
      <c r="D18" s="474">
        <v>1</v>
      </c>
      <c r="E18" s="475">
        <v>5000</v>
      </c>
      <c r="F18" s="475">
        <v>5000</v>
      </c>
      <c r="G18" s="476">
        <f t="shared" si="0"/>
        <v>120000</v>
      </c>
      <c r="H18" s="475">
        <f t="shared" si="1"/>
        <v>144000</v>
      </c>
      <c r="I18" s="3"/>
      <c r="L18" s="3"/>
      <c r="M18" s="3"/>
    </row>
    <row r="19" spans="2:13" ht="24">
      <c r="B19" s="417">
        <v>7</v>
      </c>
      <c r="C19" s="14" t="s">
        <v>1062</v>
      </c>
      <c r="D19" s="474"/>
      <c r="E19" s="475">
        <v>2000</v>
      </c>
      <c r="F19" s="475"/>
      <c r="G19" s="476">
        <f t="shared" si="0"/>
        <v>0</v>
      </c>
      <c r="H19" s="475">
        <f t="shared" si="1"/>
        <v>0</v>
      </c>
      <c r="I19" s="3"/>
      <c r="L19" s="3"/>
      <c r="M19" s="3"/>
    </row>
    <row r="20" spans="2:13" ht="12.75">
      <c r="B20" s="417">
        <v>8</v>
      </c>
      <c r="C20" s="14" t="s">
        <v>320</v>
      </c>
      <c r="D20" s="474"/>
      <c r="E20" s="475">
        <v>3000</v>
      </c>
      <c r="F20" s="475">
        <v>2000</v>
      </c>
      <c r="G20" s="476">
        <f t="shared" si="0"/>
        <v>0</v>
      </c>
      <c r="H20" s="475">
        <f t="shared" si="1"/>
        <v>0</v>
      </c>
      <c r="I20" s="3"/>
      <c r="L20" s="3"/>
      <c r="M20" s="3"/>
    </row>
    <row r="21" spans="2:13" ht="24">
      <c r="B21" s="417">
        <v>9</v>
      </c>
      <c r="C21" s="14" t="s">
        <v>1063</v>
      </c>
      <c r="D21" s="474"/>
      <c r="E21" s="475">
        <v>3000</v>
      </c>
      <c r="F21" s="475"/>
      <c r="G21" s="476">
        <f t="shared" si="0"/>
        <v>0</v>
      </c>
      <c r="H21" s="475">
        <f t="shared" si="1"/>
        <v>0</v>
      </c>
      <c r="I21" s="3"/>
      <c r="L21" s="3"/>
      <c r="M21" s="3"/>
    </row>
    <row r="22" spans="2:13" ht="24" customHeight="1">
      <c r="B22" s="417">
        <v>10</v>
      </c>
      <c r="C22" s="14" t="s">
        <v>321</v>
      </c>
      <c r="D22" s="474"/>
      <c r="E22" s="475">
        <v>3000</v>
      </c>
      <c r="F22" s="475"/>
      <c r="G22" s="476">
        <f t="shared" si="0"/>
        <v>0</v>
      </c>
      <c r="H22" s="475">
        <f t="shared" si="1"/>
        <v>0</v>
      </c>
      <c r="I22" s="3"/>
      <c r="L22" s="3"/>
      <c r="M22" s="3"/>
    </row>
    <row r="23" spans="2:13" ht="32.25" customHeight="1">
      <c r="B23" s="417">
        <v>11</v>
      </c>
      <c r="C23" s="14" t="s">
        <v>1064</v>
      </c>
      <c r="D23" s="474"/>
      <c r="E23" s="475">
        <v>3000</v>
      </c>
      <c r="F23" s="475"/>
      <c r="G23" s="476">
        <f t="shared" si="0"/>
        <v>0</v>
      </c>
      <c r="H23" s="475">
        <f t="shared" si="1"/>
        <v>0</v>
      </c>
      <c r="I23" s="3"/>
      <c r="L23" s="3"/>
      <c r="M23" s="3"/>
    </row>
    <row r="24" spans="2:13" ht="48">
      <c r="B24" s="417">
        <v>12</v>
      </c>
      <c r="C24" s="477" t="s">
        <v>1065</v>
      </c>
      <c r="D24" s="478">
        <f>+D25+D26+D27</f>
        <v>14</v>
      </c>
      <c r="E24" s="475">
        <v>5000</v>
      </c>
      <c r="F24" s="475"/>
      <c r="G24" s="476">
        <f t="shared" si="0"/>
        <v>840000</v>
      </c>
      <c r="H24" s="475">
        <f t="shared" si="1"/>
        <v>1008000</v>
      </c>
      <c r="I24" s="3"/>
      <c r="L24" s="3"/>
      <c r="M24" s="3"/>
    </row>
    <row r="25" spans="2:13" ht="48">
      <c r="B25" s="417">
        <v>13</v>
      </c>
      <c r="C25" s="479" t="s">
        <v>1066</v>
      </c>
      <c r="D25" s="474">
        <v>12</v>
      </c>
      <c r="E25" s="475">
        <v>3000</v>
      </c>
      <c r="F25" s="475"/>
      <c r="G25" s="476">
        <f t="shared" si="0"/>
        <v>432000</v>
      </c>
      <c r="H25" s="475">
        <f t="shared" si="1"/>
        <v>518400</v>
      </c>
      <c r="I25" s="3"/>
      <c r="L25" s="3"/>
      <c r="M25" s="3"/>
    </row>
    <row r="26" spans="2:13" ht="36">
      <c r="B26" s="417">
        <v>14</v>
      </c>
      <c r="C26" s="14" t="s">
        <v>1067</v>
      </c>
      <c r="D26" s="474">
        <v>1</v>
      </c>
      <c r="E26" s="475">
        <v>5000</v>
      </c>
      <c r="F26" s="475">
        <v>5000</v>
      </c>
      <c r="G26" s="476">
        <f t="shared" si="0"/>
        <v>120000</v>
      </c>
      <c r="H26" s="475">
        <f t="shared" si="1"/>
        <v>144000</v>
      </c>
      <c r="I26" s="3"/>
      <c r="L26" s="3"/>
      <c r="M26" s="3"/>
    </row>
    <row r="27" spans="2:13" ht="24">
      <c r="B27" s="417">
        <v>15</v>
      </c>
      <c r="C27" s="14" t="s">
        <v>1068</v>
      </c>
      <c r="D27" s="474">
        <v>1</v>
      </c>
      <c r="E27" s="475">
        <v>5000</v>
      </c>
      <c r="F27" s="475"/>
      <c r="G27" s="476">
        <f t="shared" si="0"/>
        <v>60000</v>
      </c>
      <c r="H27" s="475">
        <f t="shared" si="1"/>
        <v>72000</v>
      </c>
      <c r="I27" s="3"/>
      <c r="L27" s="3"/>
      <c r="M27" s="3"/>
    </row>
    <row r="28" spans="2:13" ht="42.75">
      <c r="B28" s="71"/>
      <c r="C28" s="480" t="s">
        <v>1069</v>
      </c>
      <c r="D28" s="481" t="s">
        <v>1</v>
      </c>
      <c r="E28" s="482" t="s">
        <v>1</v>
      </c>
      <c r="F28" s="482" t="s">
        <v>1</v>
      </c>
      <c r="G28" s="482" t="s">
        <v>1</v>
      </c>
      <c r="H28" s="483">
        <f>SUM(H8:H27)</f>
        <v>3355200</v>
      </c>
      <c r="I28" s="3"/>
      <c r="L28" s="3"/>
      <c r="M28" s="3"/>
    </row>
    <row r="29" spans="2:13" ht="12.75">
      <c r="B29" s="3"/>
      <c r="C29" s="3"/>
      <c r="D29" s="3"/>
      <c r="E29" s="3"/>
      <c r="F29" s="3"/>
      <c r="G29" s="3"/>
      <c r="H29" s="3"/>
      <c r="I29" s="3"/>
      <c r="L29" s="3"/>
      <c r="M29" s="3"/>
    </row>
    <row r="30" spans="2:13" ht="24">
      <c r="B30" s="1043" t="s">
        <v>1070</v>
      </c>
      <c r="C30" s="1045" t="s">
        <v>1071</v>
      </c>
      <c r="D30" s="1047" t="s">
        <v>1072</v>
      </c>
      <c r="E30" s="484" t="s">
        <v>1073</v>
      </c>
      <c r="F30" s="485"/>
      <c r="G30" s="484" t="s">
        <v>1074</v>
      </c>
      <c r="H30" s="485"/>
      <c r="I30" s="3"/>
      <c r="L30" s="3"/>
      <c r="M30" s="3"/>
    </row>
    <row r="31" spans="2:13" ht="26.25" customHeight="1">
      <c r="B31" s="1044"/>
      <c r="C31" s="1046"/>
      <c r="D31" s="1048"/>
      <c r="E31" s="486" t="s">
        <v>1075</v>
      </c>
      <c r="F31" s="486" t="s">
        <v>1076</v>
      </c>
      <c r="G31" s="486" t="s">
        <v>1075</v>
      </c>
      <c r="H31" s="486" t="s">
        <v>1077</v>
      </c>
      <c r="I31" s="3"/>
      <c r="L31" s="3"/>
      <c r="M31" s="3"/>
    </row>
    <row r="32" spans="2:13" ht="12.75">
      <c r="B32" s="487">
        <v>1</v>
      </c>
      <c r="C32" s="487">
        <v>2</v>
      </c>
      <c r="D32" s="487">
        <v>3</v>
      </c>
      <c r="E32" s="487">
        <v>4</v>
      </c>
      <c r="F32" s="487">
        <v>5</v>
      </c>
      <c r="G32" s="487">
        <v>6</v>
      </c>
      <c r="H32" s="487">
        <v>7</v>
      </c>
      <c r="I32" s="3"/>
      <c r="L32" s="3"/>
      <c r="M32" s="3"/>
    </row>
    <row r="33" spans="2:13" ht="42" customHeight="1">
      <c r="B33" s="417"/>
      <c r="C33" s="26" t="s">
        <v>1078</v>
      </c>
      <c r="D33" s="474"/>
      <c r="E33" s="417" t="s">
        <v>1</v>
      </c>
      <c r="F33" s="488">
        <v>4000</v>
      </c>
      <c r="G33" s="417" t="s">
        <v>1</v>
      </c>
      <c r="H33" s="488">
        <v>2083</v>
      </c>
      <c r="I33" s="3"/>
      <c r="L33" s="3"/>
      <c r="M33" s="3"/>
    </row>
    <row r="34" spans="2:13" ht="38.25">
      <c r="B34" s="417"/>
      <c r="C34" s="7" t="s">
        <v>1079</v>
      </c>
      <c r="D34" s="489">
        <f>SUM(D36:D38)</f>
        <v>57.5</v>
      </c>
      <c r="E34" s="490">
        <v>1</v>
      </c>
      <c r="F34" s="476">
        <f>E34*$F$33</f>
        <v>4000</v>
      </c>
      <c r="G34" s="490">
        <v>57</v>
      </c>
      <c r="H34" s="491">
        <f>G34*$H$33</f>
        <v>118731</v>
      </c>
      <c r="I34" s="3"/>
      <c r="L34" s="3"/>
      <c r="M34" s="3"/>
    </row>
    <row r="35" spans="2:13" ht="18" customHeight="1">
      <c r="B35" s="417"/>
      <c r="C35" s="492" t="s">
        <v>1080</v>
      </c>
      <c r="D35" s="493"/>
      <c r="E35" s="474"/>
      <c r="F35" s="474"/>
      <c r="G35" s="474"/>
      <c r="H35" s="474"/>
      <c r="I35" s="3"/>
      <c r="L35" s="3"/>
      <c r="M35" s="3"/>
    </row>
    <row r="36" spans="2:13" ht="51.75" customHeight="1">
      <c r="B36" s="417">
        <v>1</v>
      </c>
      <c r="C36" s="14" t="s">
        <v>1081</v>
      </c>
      <c r="D36" s="494">
        <f>SUM(D13:D21)+D24</f>
        <v>28</v>
      </c>
      <c r="E36" s="474" t="s">
        <v>1</v>
      </c>
      <c r="F36" s="474" t="s">
        <v>1</v>
      </c>
      <c r="G36" s="474" t="s">
        <v>1</v>
      </c>
      <c r="H36" s="474" t="s">
        <v>1</v>
      </c>
      <c r="I36" s="3"/>
      <c r="L36" s="3"/>
      <c r="M36" s="3"/>
    </row>
    <row r="37" spans="2:13" ht="45.75" customHeight="1">
      <c r="B37" s="417">
        <v>2</v>
      </c>
      <c r="C37" s="14" t="s">
        <v>1082</v>
      </c>
      <c r="D37" s="495">
        <f>+(D9-D10-D36)/4</f>
        <v>28.5</v>
      </c>
      <c r="E37" s="474" t="s">
        <v>1</v>
      </c>
      <c r="F37" s="474" t="s">
        <v>1</v>
      </c>
      <c r="G37" s="474" t="s">
        <v>1</v>
      </c>
      <c r="H37" s="474" t="s">
        <v>1</v>
      </c>
      <c r="I37" s="3"/>
      <c r="L37" s="3"/>
      <c r="M37" s="3"/>
    </row>
    <row r="38" spans="2:14" ht="30.75" customHeight="1">
      <c r="B38" s="417">
        <v>3</v>
      </c>
      <c r="C38" s="14" t="s">
        <v>1083</v>
      </c>
      <c r="D38" s="496">
        <v>1</v>
      </c>
      <c r="E38" s="474" t="s">
        <v>1</v>
      </c>
      <c r="F38" s="474" t="s">
        <v>1</v>
      </c>
      <c r="G38" s="474" t="s">
        <v>1</v>
      </c>
      <c r="H38" s="474" t="s">
        <v>1</v>
      </c>
      <c r="I38" s="3"/>
      <c r="L38" s="3"/>
      <c r="M38" s="3"/>
      <c r="N38" s="497"/>
    </row>
    <row r="39" spans="2:14" ht="38.25" customHeight="1">
      <c r="B39" s="71"/>
      <c r="C39" s="480" t="s">
        <v>1084</v>
      </c>
      <c r="D39" s="481" t="s">
        <v>1</v>
      </c>
      <c r="E39" s="482" t="s">
        <v>1</v>
      </c>
      <c r="F39" s="482" t="s">
        <v>1</v>
      </c>
      <c r="G39" s="482" t="s">
        <v>1</v>
      </c>
      <c r="H39" s="483">
        <f>+(F34+H34)*12*1.2</f>
        <v>1767326.4</v>
      </c>
      <c r="I39" s="3"/>
      <c r="L39" s="3"/>
      <c r="M39" s="3"/>
      <c r="N39" s="497"/>
    </row>
    <row r="40" spans="2:13" ht="13.5">
      <c r="B40" s="3"/>
      <c r="C40" s="3"/>
      <c r="D40" s="3"/>
      <c r="E40" s="3"/>
      <c r="F40" s="3"/>
      <c r="G40" s="3"/>
      <c r="H40" s="3"/>
      <c r="I40" s="3"/>
      <c r="L40" s="3"/>
      <c r="M40" s="3"/>
    </row>
    <row r="41" spans="2:14" ht="63" customHeight="1">
      <c r="B41" s="498" t="s">
        <v>1085</v>
      </c>
      <c r="C41" s="499" t="s">
        <v>1086</v>
      </c>
      <c r="D41" s="481" t="s">
        <v>1</v>
      </c>
      <c r="E41" s="481" t="s">
        <v>1</v>
      </c>
      <c r="F41" s="481" t="s">
        <v>1</v>
      </c>
      <c r="G41" s="481" t="s">
        <v>1</v>
      </c>
      <c r="H41" s="483">
        <f>+D34*1000*12</f>
        <v>690000</v>
      </c>
      <c r="I41" s="3"/>
      <c r="L41" s="3"/>
      <c r="M41" s="3"/>
      <c r="N41" s="497"/>
    </row>
    <row r="42" spans="2:13" ht="13.5">
      <c r="B42" s="3"/>
      <c r="C42" s="3"/>
      <c r="D42" s="3"/>
      <c r="E42" s="3"/>
      <c r="F42" s="3"/>
      <c r="G42" s="3"/>
      <c r="H42" s="3"/>
      <c r="I42" s="3"/>
      <c r="L42" s="3"/>
      <c r="M42" s="3"/>
    </row>
    <row r="43" spans="2:13" ht="33">
      <c r="B43" s="500" t="s">
        <v>1087</v>
      </c>
      <c r="C43" s="501" t="s">
        <v>1088</v>
      </c>
      <c r="D43" s="481" t="s">
        <v>1</v>
      </c>
      <c r="E43" s="481" t="s">
        <v>1</v>
      </c>
      <c r="F43" s="481" t="s">
        <v>1</v>
      </c>
      <c r="G43" s="481" t="s">
        <v>1</v>
      </c>
      <c r="H43" s="483">
        <f>SUM(H45:H49)</f>
        <v>1010800</v>
      </c>
      <c r="I43" s="3"/>
      <c r="L43" s="3"/>
      <c r="M43" s="3"/>
    </row>
    <row r="44" spans="2:13" ht="13.5" customHeight="1">
      <c r="B44" s="474"/>
      <c r="C44" s="474"/>
      <c r="D44" s="474"/>
      <c r="E44" s="474"/>
      <c r="F44" s="474"/>
      <c r="G44" s="474"/>
      <c r="H44" s="475"/>
      <c r="I44" s="3"/>
      <c r="L44" s="3"/>
      <c r="M44" s="3"/>
    </row>
    <row r="45" spans="2:13" ht="13.5">
      <c r="B45" s="417">
        <v>1</v>
      </c>
      <c r="C45" s="502" t="s">
        <v>319</v>
      </c>
      <c r="D45" s="474" t="s">
        <v>1</v>
      </c>
      <c r="E45" s="474" t="s">
        <v>1</v>
      </c>
      <c r="F45" s="474" t="s">
        <v>1</v>
      </c>
      <c r="G45" s="474" t="s">
        <v>1</v>
      </c>
      <c r="H45" s="475">
        <f>'4-փոստային կապ'!K11</f>
        <v>49800</v>
      </c>
      <c r="I45" s="3"/>
      <c r="L45" s="3"/>
      <c r="M45" s="3"/>
    </row>
    <row r="46" spans="2:13" ht="13.5">
      <c r="B46" s="417">
        <v>2</v>
      </c>
      <c r="C46" s="502" t="s">
        <v>67</v>
      </c>
      <c r="D46" s="474" t="s">
        <v>1</v>
      </c>
      <c r="E46" s="474" t="s">
        <v>1</v>
      </c>
      <c r="F46" s="474" t="s">
        <v>1</v>
      </c>
      <c r="G46" s="474" t="s">
        <v>1</v>
      </c>
      <c r="H46" s="475">
        <v>719000</v>
      </c>
      <c r="I46" s="3"/>
      <c r="L46" s="3"/>
      <c r="M46" s="3"/>
    </row>
    <row r="47" spans="2:13" ht="13.5">
      <c r="B47" s="417">
        <v>3</v>
      </c>
      <c r="C47" s="502" t="s">
        <v>1098</v>
      </c>
      <c r="D47" s="474" t="s">
        <v>1</v>
      </c>
      <c r="E47" s="474" t="s">
        <v>1</v>
      </c>
      <c r="F47" s="474" t="s">
        <v>1</v>
      </c>
      <c r="G47" s="474" t="s">
        <v>1</v>
      </c>
      <c r="H47" s="475">
        <v>201000</v>
      </c>
      <c r="I47" s="3"/>
      <c r="L47" s="3"/>
      <c r="M47" s="3"/>
    </row>
    <row r="48" spans="2:13" ht="13.5">
      <c r="B48" s="417">
        <v>4</v>
      </c>
      <c r="C48" s="502" t="s">
        <v>1099</v>
      </c>
      <c r="D48" s="474" t="s">
        <v>1</v>
      </c>
      <c r="E48" s="474" t="s">
        <v>1</v>
      </c>
      <c r="F48" s="474" t="s">
        <v>1</v>
      </c>
      <c r="G48" s="474" t="s">
        <v>1</v>
      </c>
      <c r="H48" s="475">
        <v>12000</v>
      </c>
      <c r="I48" s="3"/>
      <c r="L48" s="3"/>
      <c r="M48" s="3"/>
    </row>
    <row r="49" spans="2:13" ht="39" customHeight="1">
      <c r="B49" s="417">
        <v>5</v>
      </c>
      <c r="C49" s="502" t="s">
        <v>1119</v>
      </c>
      <c r="D49" s="474" t="s">
        <v>1</v>
      </c>
      <c r="E49" s="474" t="s">
        <v>1</v>
      </c>
      <c r="F49" s="474" t="s">
        <v>1</v>
      </c>
      <c r="G49" s="474" t="s">
        <v>1</v>
      </c>
      <c r="H49" s="475">
        <v>29000</v>
      </c>
      <c r="I49" s="3"/>
      <c r="L49" s="3"/>
      <c r="M49" s="3"/>
    </row>
    <row r="50" spans="2:13" ht="25.5" customHeight="1">
      <c r="B50" s="503"/>
      <c r="C50" s="504" t="s">
        <v>247</v>
      </c>
      <c r="D50" s="505" t="s">
        <v>1</v>
      </c>
      <c r="E50" s="505" t="s">
        <v>1</v>
      </c>
      <c r="F50" s="505" t="s">
        <v>1</v>
      </c>
      <c r="G50" s="505" t="s">
        <v>1</v>
      </c>
      <c r="H50" s="483">
        <f>(H41+H39+H28+H43)/1000</f>
        <v>6823.3264</v>
      </c>
      <c r="I50" s="3"/>
      <c r="L50" s="3"/>
      <c r="M50" s="3"/>
    </row>
    <row r="51" spans="2:13" ht="13.5">
      <c r="B51" s="3"/>
      <c r="C51" s="3"/>
      <c r="D51" s="3"/>
      <c r="E51" s="3"/>
      <c r="F51" s="3"/>
      <c r="G51" s="3"/>
      <c r="I51" s="3"/>
      <c r="L51" s="3"/>
      <c r="M51" s="3"/>
    </row>
    <row r="52" spans="2:14" s="60" customFormat="1" ht="17.25">
      <c r="B52" s="2"/>
      <c r="C52" s="506"/>
      <c r="D52" s="17"/>
      <c r="E52" s="17"/>
      <c r="F52" s="507"/>
      <c r="G52" s="17"/>
      <c r="H52" s="16"/>
      <c r="I52" s="3"/>
      <c r="J52" s="3"/>
      <c r="K52" s="3"/>
      <c r="L52" s="3"/>
      <c r="N52" s="3"/>
    </row>
    <row r="53" spans="9:12" ht="13.5">
      <c r="I53" s="3"/>
      <c r="L53" s="3"/>
    </row>
    <row r="54" spans="2:3" ht="13.5">
      <c r="B54" s="508" t="s">
        <v>7</v>
      </c>
      <c r="C54" s="509" t="s">
        <v>1089</v>
      </c>
    </row>
    <row r="55" spans="2:12" ht="19.5">
      <c r="B55" s="510">
        <v>1</v>
      </c>
      <c r="C55" s="511" t="s">
        <v>1090</v>
      </c>
      <c r="I55" s="3"/>
      <c r="L55" s="3"/>
    </row>
    <row r="56" spans="2:12" ht="19.5">
      <c r="B56" s="510">
        <v>2</v>
      </c>
      <c r="C56" s="511" t="s">
        <v>1091</v>
      </c>
      <c r="I56" s="3"/>
      <c r="L56" s="3"/>
    </row>
  </sheetData>
  <sheetProtection/>
  <mergeCells count="8">
    <mergeCell ref="B30:B31"/>
    <mergeCell ref="C30:C31"/>
    <mergeCell ref="D30:D31"/>
    <mergeCell ref="B4:H4"/>
    <mergeCell ref="B5:H5"/>
    <mergeCell ref="B11:B12"/>
    <mergeCell ref="C11:C12"/>
    <mergeCell ref="E11:H11"/>
  </mergeCells>
  <printOptions/>
  <pageMargins left="0.25" right="0.25" top="0.25" bottom="0.25" header="0.22" footer="0.16"/>
  <pageSetup horizontalDpi="600" verticalDpi="600" orientation="landscape" paperSize="9" scale="7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4.28125" style="43" customWidth="1"/>
    <col min="2" max="2" width="30.7109375" style="60" customWidth="1"/>
    <col min="3" max="3" width="8.28125" style="60" customWidth="1"/>
    <col min="4" max="5" width="10.00390625" style="60" customWidth="1"/>
    <col min="6" max="6" width="10.57421875" style="60" customWidth="1"/>
    <col min="7" max="7" width="8.00390625" style="60" customWidth="1"/>
    <col min="8" max="8" width="11.8515625" style="60" customWidth="1"/>
    <col min="9" max="9" width="12.140625" style="43" customWidth="1"/>
    <col min="10" max="16384" width="9.140625" style="44" customWidth="1"/>
  </cols>
  <sheetData>
    <row r="1" spans="1:14" s="55" customFormat="1" ht="17.25">
      <c r="A1" s="102"/>
      <c r="B1" s="103"/>
      <c r="C1" s="103"/>
      <c r="D1" s="104"/>
      <c r="E1" s="104"/>
      <c r="F1" s="103"/>
      <c r="G1" s="103"/>
      <c r="H1" s="45"/>
      <c r="I1" s="93" t="s">
        <v>66</v>
      </c>
      <c r="J1" s="103"/>
      <c r="K1" s="45"/>
      <c r="L1" s="45"/>
      <c r="M1" s="45"/>
      <c r="N1" s="45"/>
    </row>
    <row r="2" spans="1:14" s="55" customFormat="1" ht="12.75" customHeight="1">
      <c r="A2" s="45"/>
      <c r="B2" s="103"/>
      <c r="C2" s="103"/>
      <c r="D2" s="104"/>
      <c r="E2" s="104"/>
      <c r="F2" s="103"/>
      <c r="G2" s="103"/>
      <c r="H2" s="1058" t="s">
        <v>9</v>
      </c>
      <c r="I2" s="1058"/>
      <c r="J2" s="1058"/>
      <c r="K2" s="45"/>
      <c r="L2" s="45"/>
      <c r="M2" s="45"/>
      <c r="N2" s="45"/>
    </row>
    <row r="3" spans="2:7" s="55" customFormat="1" ht="35.25" thickBot="1">
      <c r="B3" s="46" t="s">
        <v>1102</v>
      </c>
      <c r="C3" s="205"/>
      <c r="D3" s="205"/>
      <c r="E3" s="205"/>
      <c r="F3" s="206"/>
      <c r="G3" s="206"/>
    </row>
    <row r="4" spans="1:9" s="55" customFormat="1" ht="17.25">
      <c r="A4" s="45"/>
      <c r="B4" s="104"/>
      <c r="C4" s="104"/>
      <c r="D4" s="104"/>
      <c r="E4" s="103"/>
      <c r="F4" s="939"/>
      <c r="G4" s="939"/>
      <c r="H4" s="104"/>
      <c r="I4" s="940"/>
    </row>
    <row r="5" spans="1:9" s="55" customFormat="1" ht="17.25">
      <c r="A5" s="45"/>
      <c r="B5" s="939" t="s">
        <v>58</v>
      </c>
      <c r="C5" s="939"/>
      <c r="D5" s="939"/>
      <c r="E5" s="939"/>
      <c r="F5" s="939"/>
      <c r="G5" s="939"/>
      <c r="H5" s="939"/>
      <c r="I5" s="45"/>
    </row>
    <row r="6" spans="1:9" s="55" customFormat="1" ht="34.5">
      <c r="A6" s="45"/>
      <c r="B6" s="939" t="s">
        <v>982</v>
      </c>
      <c r="C6" s="939"/>
      <c r="D6" s="939"/>
      <c r="E6" s="939"/>
      <c r="F6" s="939"/>
      <c r="G6" s="939"/>
      <c r="H6" s="939"/>
      <c r="I6" s="45"/>
    </row>
    <row r="7" spans="1:9" s="55" customFormat="1" ht="17.25">
      <c r="A7" s="45"/>
      <c r="B7" s="104"/>
      <c r="C7" s="104"/>
      <c r="D7" s="104"/>
      <c r="E7" s="104"/>
      <c r="F7" s="104"/>
      <c r="G7" s="104"/>
      <c r="H7" s="104"/>
      <c r="I7" s="45"/>
    </row>
    <row r="8" spans="1:14" ht="138">
      <c r="A8" s="50"/>
      <c r="B8" s="129"/>
      <c r="C8" s="119" t="s">
        <v>68</v>
      </c>
      <c r="D8" s="119" t="s">
        <v>69</v>
      </c>
      <c r="E8" s="119" t="s">
        <v>70</v>
      </c>
      <c r="F8" s="119" t="s">
        <v>71</v>
      </c>
      <c r="G8" s="941" t="s">
        <v>72</v>
      </c>
      <c r="H8" s="941" t="s">
        <v>73</v>
      </c>
      <c r="I8" s="942" t="s">
        <v>74</v>
      </c>
      <c r="N8" s="55"/>
    </row>
    <row r="9" spans="1:14" ht="17.25">
      <c r="A9" s="59">
        <v>1</v>
      </c>
      <c r="B9" s="943">
        <v>2</v>
      </c>
      <c r="C9" s="943">
        <v>3</v>
      </c>
      <c r="D9" s="943">
        <v>4</v>
      </c>
      <c r="E9" s="943">
        <v>5</v>
      </c>
      <c r="F9" s="943">
        <v>6</v>
      </c>
      <c r="G9" s="943">
        <v>7</v>
      </c>
      <c r="H9" s="943">
        <v>8</v>
      </c>
      <c r="I9" s="59">
        <v>9</v>
      </c>
      <c r="N9" s="55"/>
    </row>
    <row r="10" spans="1:14" ht="103.5">
      <c r="A10" s="59">
        <v>1</v>
      </c>
      <c r="B10" s="95" t="s">
        <v>221</v>
      </c>
      <c r="C10" s="943" t="s">
        <v>1</v>
      </c>
      <c r="D10" s="943" t="s">
        <v>1</v>
      </c>
      <c r="E10" s="943" t="s">
        <v>1</v>
      </c>
      <c r="F10" s="943">
        <v>562.6</v>
      </c>
      <c r="G10" s="943">
        <v>29.32</v>
      </c>
      <c r="H10" s="944">
        <f>F10*G10</f>
        <v>16495.432</v>
      </c>
      <c r="I10" s="945">
        <f>H10*0.05348</f>
        <v>882.17570336</v>
      </c>
      <c r="N10" s="55"/>
    </row>
    <row r="11" spans="1:14" ht="120.75">
      <c r="A11" s="59">
        <v>2</v>
      </c>
      <c r="B11" s="95" t="s">
        <v>76</v>
      </c>
      <c r="C11" s="943" t="s">
        <v>1</v>
      </c>
      <c r="D11" s="943" t="s">
        <v>1</v>
      </c>
      <c r="E11" s="943" t="s">
        <v>1</v>
      </c>
      <c r="F11" s="943"/>
      <c r="G11" s="943">
        <v>21.4</v>
      </c>
      <c r="H11" s="944">
        <f>F11*G11</f>
        <v>0</v>
      </c>
      <c r="I11" s="945">
        <f aca="true" t="shared" si="0" ref="I11:I18">H11*0.05348</f>
        <v>0</v>
      </c>
      <c r="N11" s="55"/>
    </row>
    <row r="12" spans="1:9" ht="120.75">
      <c r="A12" s="59">
        <v>3</v>
      </c>
      <c r="B12" s="95" t="s">
        <v>77</v>
      </c>
      <c r="C12" s="95">
        <v>75</v>
      </c>
      <c r="D12" s="943" t="s">
        <v>1</v>
      </c>
      <c r="E12" s="943" t="s">
        <v>1</v>
      </c>
      <c r="F12" s="943" t="s">
        <v>1</v>
      </c>
      <c r="G12" s="943">
        <v>1100</v>
      </c>
      <c r="H12" s="946">
        <f>C12*G12</f>
        <v>82500</v>
      </c>
      <c r="I12" s="945">
        <f t="shared" si="0"/>
        <v>4412.1</v>
      </c>
    </row>
    <row r="13" spans="1:9" ht="86.25">
      <c r="A13" s="59">
        <v>4</v>
      </c>
      <c r="B13" s="95" t="s">
        <v>75</v>
      </c>
      <c r="C13" s="943"/>
      <c r="D13" s="946">
        <f>SUM(D15:D18)</f>
        <v>0</v>
      </c>
      <c r="E13" s="946">
        <f>SUM(E15:E18)</f>
        <v>0</v>
      </c>
      <c r="F13" s="943" t="s">
        <v>1</v>
      </c>
      <c r="G13" s="943" t="s">
        <v>1</v>
      </c>
      <c r="H13" s="946">
        <f>SUM(H15:H18)</f>
        <v>0</v>
      </c>
      <c r="I13" s="946">
        <f>SUM(I15:I18)</f>
        <v>0</v>
      </c>
    </row>
    <row r="14" spans="1:9" ht="21" customHeight="1">
      <c r="A14" s="59"/>
      <c r="B14" s="95" t="s">
        <v>78</v>
      </c>
      <c r="C14" s="943"/>
      <c r="D14" s="943"/>
      <c r="E14" s="943"/>
      <c r="F14" s="943"/>
      <c r="G14" s="943"/>
      <c r="H14" s="946"/>
      <c r="I14" s="945">
        <f t="shared" si="0"/>
        <v>0</v>
      </c>
    </row>
    <row r="15" spans="1:9" ht="21" customHeight="1">
      <c r="A15" s="59">
        <v>4.1</v>
      </c>
      <c r="B15" s="95"/>
      <c r="C15" s="943" t="s">
        <v>1</v>
      </c>
      <c r="D15" s="943"/>
      <c r="E15" s="943"/>
      <c r="F15" s="943" t="s">
        <v>1</v>
      </c>
      <c r="G15" s="943" t="s">
        <v>1</v>
      </c>
      <c r="H15" s="946">
        <f>D15*E15</f>
        <v>0</v>
      </c>
      <c r="I15" s="945">
        <f t="shared" si="0"/>
        <v>0</v>
      </c>
    </row>
    <row r="16" spans="1:9" ht="21" customHeight="1">
      <c r="A16" s="59">
        <v>4.2</v>
      </c>
      <c r="B16" s="95"/>
      <c r="C16" s="943" t="s">
        <v>1</v>
      </c>
      <c r="D16" s="943"/>
      <c r="E16" s="943"/>
      <c r="F16" s="943" t="s">
        <v>1</v>
      </c>
      <c r="G16" s="943" t="s">
        <v>1</v>
      </c>
      <c r="H16" s="946">
        <f>D16*E16</f>
        <v>0</v>
      </c>
      <c r="I16" s="945">
        <f t="shared" si="0"/>
        <v>0</v>
      </c>
    </row>
    <row r="17" spans="1:9" ht="18" customHeight="1">
      <c r="A17" s="59">
        <v>4.3</v>
      </c>
      <c r="B17" s="95"/>
      <c r="C17" s="943" t="s">
        <v>1</v>
      </c>
      <c r="D17" s="943"/>
      <c r="E17" s="943"/>
      <c r="F17" s="943" t="s">
        <v>1</v>
      </c>
      <c r="G17" s="943" t="s">
        <v>1</v>
      </c>
      <c r="H17" s="946">
        <f>D17*E17</f>
        <v>0</v>
      </c>
      <c r="I17" s="945">
        <f t="shared" si="0"/>
        <v>0</v>
      </c>
    </row>
    <row r="18" spans="1:9" ht="18" customHeight="1">
      <c r="A18" s="59">
        <v>4.4</v>
      </c>
      <c r="B18" s="95"/>
      <c r="C18" s="943" t="s">
        <v>1</v>
      </c>
      <c r="D18" s="943"/>
      <c r="E18" s="943"/>
      <c r="F18" s="943" t="s">
        <v>1</v>
      </c>
      <c r="G18" s="943" t="s">
        <v>1</v>
      </c>
      <c r="H18" s="946">
        <f>D18*E18</f>
        <v>0</v>
      </c>
      <c r="I18" s="945">
        <f t="shared" si="0"/>
        <v>0</v>
      </c>
    </row>
    <row r="19" spans="1:9" ht="27" customHeight="1">
      <c r="A19" s="947"/>
      <c r="B19" s="948" t="s">
        <v>62</v>
      </c>
      <c r="C19" s="948"/>
      <c r="D19" s="949" t="s">
        <v>1</v>
      </c>
      <c r="E19" s="949" t="s">
        <v>1</v>
      </c>
      <c r="F19" s="949" t="s">
        <v>1</v>
      </c>
      <c r="G19" s="949" t="s">
        <v>1</v>
      </c>
      <c r="H19" s="950">
        <f>SUM(H10:H13)</f>
        <v>98995.432</v>
      </c>
      <c r="I19" s="950">
        <f>SUM(I10:I13)*0.65</f>
        <v>3441.2792071840004</v>
      </c>
    </row>
    <row r="22" spans="2:8" ht="17.25">
      <c r="B22" s="951"/>
      <c r="C22" s="952"/>
      <c r="D22" s="952"/>
      <c r="E22" s="952"/>
      <c r="F22" s="952"/>
      <c r="G22" s="952"/>
      <c r="H22" s="952"/>
    </row>
    <row r="23" spans="2:12" ht="22.5" customHeight="1">
      <c r="B23" s="953" t="s">
        <v>863</v>
      </c>
      <c r="I23" s="60"/>
      <c r="J23" s="60"/>
      <c r="K23" s="43"/>
      <c r="L23" s="43"/>
    </row>
    <row r="24" spans="1:14" ht="28.5" customHeight="1">
      <c r="A24" s="45"/>
      <c r="B24" s="111" t="s">
        <v>116</v>
      </c>
      <c r="C24" s="939"/>
      <c r="D24" s="939"/>
      <c r="E24" s="939"/>
      <c r="F24" s="939"/>
      <c r="G24" s="939"/>
      <c r="H24" s="939"/>
      <c r="I24" s="939"/>
      <c r="J24" s="939"/>
      <c r="K24" s="954"/>
      <c r="L24" s="954"/>
      <c r="M24" s="954"/>
      <c r="N24" s="44" t="s">
        <v>0</v>
      </c>
    </row>
    <row r="25" spans="1:13" ht="34.5">
      <c r="A25" s="45"/>
      <c r="B25" s="111" t="s">
        <v>95</v>
      </c>
      <c r="C25" s="939"/>
      <c r="D25" s="939"/>
      <c r="E25" s="939"/>
      <c r="F25" s="939"/>
      <c r="G25" s="939"/>
      <c r="H25" s="939"/>
      <c r="I25" s="939"/>
      <c r="J25" s="939"/>
      <c r="K25" s="954" t="s">
        <v>0</v>
      </c>
      <c r="L25" s="954"/>
      <c r="M25" s="954"/>
    </row>
  </sheetData>
  <sheetProtection/>
  <mergeCells count="1">
    <mergeCell ref="H2:J2"/>
  </mergeCells>
  <printOptions/>
  <pageMargins left="0.21" right="0.17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28125" style="2" customWidth="1"/>
    <col min="2" max="2" width="17.00390625" style="18" customWidth="1"/>
    <col min="3" max="3" width="10.7109375" style="16" bestFit="1" customWidth="1"/>
    <col min="4" max="4" width="10.7109375" style="18" bestFit="1" customWidth="1"/>
    <col min="5" max="5" width="11.140625" style="18" bestFit="1" customWidth="1"/>
    <col min="6" max="7" width="11.8515625" style="16" customWidth="1"/>
    <col min="8" max="8" width="9.421875" style="16" bestFit="1" customWidth="1"/>
    <col min="9" max="9" width="12.8515625" style="16" customWidth="1"/>
    <col min="10" max="10" width="11.7109375" style="16" bestFit="1" customWidth="1"/>
    <col min="11" max="11" width="8.8515625" style="2" bestFit="1" customWidth="1"/>
    <col min="12" max="12" width="9.8515625" style="2" customWidth="1"/>
    <col min="13" max="13" width="12.00390625" style="3" bestFit="1" customWidth="1"/>
    <col min="14" max="16384" width="9.140625" style="3" customWidth="1"/>
  </cols>
  <sheetData>
    <row r="1" spans="1:14" s="11" customFormat="1" ht="13.5">
      <c r="A1" s="54"/>
      <c r="B1" s="1"/>
      <c r="C1" s="1"/>
      <c r="D1" s="20"/>
      <c r="E1" s="20"/>
      <c r="F1" s="1"/>
      <c r="G1" s="1"/>
      <c r="H1" s="1060"/>
      <c r="I1" s="1060"/>
      <c r="J1" s="10"/>
      <c r="K1" s="10"/>
      <c r="L1" s="28" t="s">
        <v>79</v>
      </c>
      <c r="M1" s="1"/>
      <c r="N1" s="10"/>
    </row>
    <row r="2" spans="1:14" s="11" customFormat="1" ht="12.75" customHeight="1">
      <c r="A2" s="54"/>
      <c r="B2" s="1"/>
      <c r="C2" s="1"/>
      <c r="D2" s="20"/>
      <c r="E2" s="20"/>
      <c r="F2" s="1"/>
      <c r="G2" s="1"/>
      <c r="H2" s="1060"/>
      <c r="I2" s="1060"/>
      <c r="J2" s="10"/>
      <c r="K2" s="1060" t="s">
        <v>9</v>
      </c>
      <c r="L2" s="1060"/>
      <c r="M2" s="1060"/>
      <c r="N2" s="10"/>
    </row>
    <row r="3" spans="2:7" s="11" customFormat="1" ht="43.5" customHeight="1" thickBot="1">
      <c r="B3" s="1059" t="s">
        <v>10</v>
      </c>
      <c r="C3" s="1059"/>
      <c r="D3" s="4" t="s">
        <v>1105</v>
      </c>
      <c r="E3" s="4"/>
      <c r="F3" s="57"/>
      <c r="G3" s="57"/>
    </row>
    <row r="4" spans="1:10" s="11" customFormat="1" ht="23.25" customHeight="1">
      <c r="A4" s="10"/>
      <c r="B4" s="21" t="s">
        <v>58</v>
      </c>
      <c r="C4" s="21"/>
      <c r="D4" s="21"/>
      <c r="E4" s="21"/>
      <c r="F4" s="21"/>
      <c r="G4" s="21"/>
      <c r="H4" s="29"/>
      <c r="I4" s="29"/>
      <c r="J4" s="29"/>
    </row>
    <row r="5" spans="1:10" s="11" customFormat="1" ht="27">
      <c r="A5" s="10"/>
      <c r="B5" s="21" t="s">
        <v>984</v>
      </c>
      <c r="C5" s="21"/>
      <c r="D5" s="21"/>
      <c r="E5" s="21"/>
      <c r="F5" s="21"/>
      <c r="G5" s="21"/>
      <c r="H5" s="29"/>
      <c r="I5" s="29"/>
      <c r="J5" s="29"/>
    </row>
    <row r="6" spans="1:12" s="11" customFormat="1" ht="13.5">
      <c r="A6" s="10"/>
      <c r="B6" s="21"/>
      <c r="C6" s="21"/>
      <c r="D6" s="21"/>
      <c r="E6" s="21"/>
      <c r="F6" s="21"/>
      <c r="G6" s="21"/>
      <c r="H6" s="21"/>
      <c r="I6" s="21"/>
      <c r="J6" s="21"/>
      <c r="K6" s="10"/>
      <c r="L6" s="10"/>
    </row>
    <row r="7" spans="1:13" s="6" customFormat="1" ht="89.25">
      <c r="A7" s="23" t="s">
        <v>63</v>
      </c>
      <c r="B7" s="13" t="s">
        <v>80</v>
      </c>
      <c r="C7" s="13" t="s">
        <v>84</v>
      </c>
      <c r="D7" s="5" t="s">
        <v>85</v>
      </c>
      <c r="E7" s="5" t="s">
        <v>81</v>
      </c>
      <c r="F7" s="5" t="s">
        <v>86</v>
      </c>
      <c r="G7" s="12" t="s">
        <v>87</v>
      </c>
      <c r="H7" s="5" t="s">
        <v>88</v>
      </c>
      <c r="I7" s="5" t="s">
        <v>89</v>
      </c>
      <c r="J7" s="5" t="s">
        <v>90</v>
      </c>
      <c r="K7" s="12" t="s">
        <v>91</v>
      </c>
      <c r="L7" s="12" t="s">
        <v>92</v>
      </c>
      <c r="M7" s="24" t="s">
        <v>93</v>
      </c>
    </row>
    <row r="8" spans="1:13" s="6" customFormat="1" ht="18" customHeight="1">
      <c r="A8" s="15">
        <v>1</v>
      </c>
      <c r="B8" s="5">
        <v>2</v>
      </c>
      <c r="C8" s="5">
        <v>3</v>
      </c>
      <c r="D8" s="15">
        <v>4</v>
      </c>
      <c r="E8" s="5">
        <v>5</v>
      </c>
      <c r="F8" s="5">
        <v>6</v>
      </c>
      <c r="G8" s="15">
        <v>7</v>
      </c>
      <c r="H8" s="5">
        <v>8</v>
      </c>
      <c r="I8" s="5">
        <v>9</v>
      </c>
      <c r="J8" s="15">
        <v>10</v>
      </c>
      <c r="K8" s="5">
        <v>11</v>
      </c>
      <c r="L8" s="5">
        <v>12</v>
      </c>
      <c r="M8" s="15">
        <v>13</v>
      </c>
    </row>
    <row r="9" spans="1:13" s="6" customFormat="1" ht="18" customHeight="1">
      <c r="A9" s="32">
        <v>1</v>
      </c>
      <c r="B9" s="9"/>
      <c r="C9" s="33" t="s">
        <v>82</v>
      </c>
      <c r="D9" s="9"/>
      <c r="E9" s="9"/>
      <c r="F9" s="9"/>
      <c r="G9" s="25">
        <f aca="true" t="shared" si="0" ref="G9:G14">E9*F9</f>
        <v>0</v>
      </c>
      <c r="H9" s="34">
        <v>147</v>
      </c>
      <c r="I9" s="9" t="s">
        <v>1</v>
      </c>
      <c r="J9" s="9" t="s">
        <v>1</v>
      </c>
      <c r="K9" s="34">
        <f>G9*H9</f>
        <v>0</v>
      </c>
      <c r="L9" s="65">
        <v>0.1437</v>
      </c>
      <c r="M9" s="66">
        <f aca="true" t="shared" si="1" ref="M9:M14">K9*L9</f>
        <v>0</v>
      </c>
    </row>
    <row r="10" spans="1:13" ht="27">
      <c r="A10" s="32"/>
      <c r="B10" s="14"/>
      <c r="C10" s="33" t="s">
        <v>94</v>
      </c>
      <c r="D10" s="9">
        <v>17920</v>
      </c>
      <c r="E10" s="9">
        <v>1574.2</v>
      </c>
      <c r="F10" s="9">
        <v>0.0189</v>
      </c>
      <c r="G10" s="25">
        <f t="shared" si="0"/>
        <v>29.752380000000002</v>
      </c>
      <c r="H10" s="34">
        <v>147</v>
      </c>
      <c r="I10" s="34" t="s">
        <v>1</v>
      </c>
      <c r="J10" s="9" t="s">
        <v>1</v>
      </c>
      <c r="K10" s="34">
        <f>G10*H10</f>
        <v>4373.59986</v>
      </c>
      <c r="L10" s="91">
        <v>0.1437</v>
      </c>
      <c r="M10" s="66">
        <f>K10*L10</f>
        <v>628.486299882</v>
      </c>
    </row>
    <row r="11" spans="1:13" ht="18" customHeight="1">
      <c r="A11" s="32">
        <v>2</v>
      </c>
      <c r="B11" s="14"/>
      <c r="C11" s="33" t="s">
        <v>82</v>
      </c>
      <c r="D11" s="9"/>
      <c r="E11" s="9"/>
      <c r="F11" s="9"/>
      <c r="G11" s="25">
        <f t="shared" si="0"/>
        <v>0</v>
      </c>
      <c r="H11" s="9" t="s">
        <v>1</v>
      </c>
      <c r="I11" s="34">
        <v>139</v>
      </c>
      <c r="J11" s="9" t="s">
        <v>1</v>
      </c>
      <c r="K11" s="34">
        <f>G11*I11</f>
        <v>0</v>
      </c>
      <c r="L11" s="91">
        <v>0.1437</v>
      </c>
      <c r="M11" s="66">
        <f t="shared" si="1"/>
        <v>0</v>
      </c>
    </row>
    <row r="12" spans="1:13" ht="27">
      <c r="A12" s="32"/>
      <c r="B12" s="14"/>
      <c r="C12" s="33" t="s">
        <v>94</v>
      </c>
      <c r="D12" s="9"/>
      <c r="E12" s="9"/>
      <c r="F12" s="9"/>
      <c r="G12" s="25">
        <f t="shared" si="0"/>
        <v>0</v>
      </c>
      <c r="H12" s="9" t="s">
        <v>1</v>
      </c>
      <c r="I12" s="34">
        <v>139</v>
      </c>
      <c r="J12" s="9" t="s">
        <v>1</v>
      </c>
      <c r="K12" s="34">
        <f>G12*I12</f>
        <v>0</v>
      </c>
      <c r="L12" s="91">
        <v>0.1437</v>
      </c>
      <c r="M12" s="66">
        <f t="shared" si="1"/>
        <v>0</v>
      </c>
    </row>
    <row r="13" spans="1:13" s="6" customFormat="1" ht="18" customHeight="1">
      <c r="A13" s="32">
        <v>3</v>
      </c>
      <c r="B13" s="9"/>
      <c r="C13" s="33" t="s">
        <v>82</v>
      </c>
      <c r="D13" s="9"/>
      <c r="E13" s="9"/>
      <c r="F13" s="9"/>
      <c r="G13" s="25">
        <f t="shared" si="0"/>
        <v>0</v>
      </c>
      <c r="H13" s="9" t="s">
        <v>1</v>
      </c>
      <c r="I13" s="9" t="s">
        <v>1</v>
      </c>
      <c r="J13" s="25">
        <v>110</v>
      </c>
      <c r="K13" s="34">
        <f>G13*J13</f>
        <v>0</v>
      </c>
      <c r="L13" s="91">
        <v>0.1437</v>
      </c>
      <c r="M13" s="66">
        <f t="shared" si="1"/>
        <v>0</v>
      </c>
    </row>
    <row r="14" spans="1:13" ht="27">
      <c r="A14" s="32"/>
      <c r="B14" s="14"/>
      <c r="C14" s="33" t="s">
        <v>94</v>
      </c>
      <c r="D14" s="9"/>
      <c r="E14" s="9"/>
      <c r="F14" s="9"/>
      <c r="G14" s="25">
        <f t="shared" si="0"/>
        <v>0</v>
      </c>
      <c r="H14" s="34" t="s">
        <v>1</v>
      </c>
      <c r="I14" s="34" t="s">
        <v>1</v>
      </c>
      <c r="J14" s="34">
        <v>110</v>
      </c>
      <c r="K14" s="34">
        <f>G14*J14</f>
        <v>0</v>
      </c>
      <c r="L14" s="91">
        <v>0.1437</v>
      </c>
      <c r="M14" s="66">
        <f t="shared" si="1"/>
        <v>0</v>
      </c>
    </row>
    <row r="15" spans="1:13" ht="22.5" customHeight="1">
      <c r="A15" s="35"/>
      <c r="B15" s="7" t="s">
        <v>62</v>
      </c>
      <c r="C15" s="26" t="s">
        <v>1</v>
      </c>
      <c r="D15" s="26" t="s">
        <v>1</v>
      </c>
      <c r="E15" s="26" t="s">
        <v>1</v>
      </c>
      <c r="F15" s="26" t="s">
        <v>1</v>
      </c>
      <c r="G15" s="26" t="s">
        <v>1</v>
      </c>
      <c r="H15" s="26" t="s">
        <v>1</v>
      </c>
      <c r="I15" s="26" t="s">
        <v>1</v>
      </c>
      <c r="J15" s="26" t="s">
        <v>1</v>
      </c>
      <c r="K15" s="26" t="s">
        <v>1</v>
      </c>
      <c r="L15" s="26" t="s">
        <v>1</v>
      </c>
      <c r="M15" s="30">
        <f>SUM(M9:M14)</f>
        <v>628.486299882</v>
      </c>
    </row>
    <row r="16" spans="1:13" ht="27" customHeight="1">
      <c r="A16" s="36"/>
      <c r="B16" s="31"/>
      <c r="C16" s="37"/>
      <c r="D16" s="37"/>
      <c r="E16" s="37"/>
      <c r="F16" s="37"/>
      <c r="G16" s="37"/>
      <c r="H16" s="37"/>
      <c r="I16" s="37"/>
      <c r="J16" s="38"/>
      <c r="K16" s="38"/>
      <c r="L16" s="38"/>
      <c r="M16" s="39"/>
    </row>
    <row r="17" spans="1:13" ht="10.5" customHeight="1">
      <c r="A17" s="36"/>
      <c r="C17" s="31"/>
      <c r="D17" s="31"/>
      <c r="E17" s="31"/>
      <c r="F17" s="31"/>
      <c r="G17" s="31"/>
      <c r="H17" s="31"/>
      <c r="I17" s="31" t="s">
        <v>0</v>
      </c>
      <c r="J17" s="31"/>
      <c r="K17" s="31"/>
      <c r="L17" s="31"/>
      <c r="M17" s="40"/>
    </row>
    <row r="18" spans="1:13" ht="22.5" customHeight="1">
      <c r="A18" s="10"/>
      <c r="B18" s="41" t="s">
        <v>96</v>
      </c>
      <c r="C18" s="21"/>
      <c r="D18" s="22" t="s">
        <v>0</v>
      </c>
      <c r="E18" s="22"/>
      <c r="F18" s="21"/>
      <c r="G18" s="21"/>
      <c r="H18" s="21"/>
      <c r="I18" s="21"/>
      <c r="J18" s="21"/>
      <c r="K18" s="29"/>
      <c r="L18" s="29"/>
      <c r="M18" s="29"/>
    </row>
    <row r="19" spans="1:14" ht="28.5" customHeight="1">
      <c r="A19" s="10"/>
      <c r="B19" s="31" t="s">
        <v>116</v>
      </c>
      <c r="C19" s="21"/>
      <c r="D19" s="22"/>
      <c r="E19" s="22"/>
      <c r="F19" s="21"/>
      <c r="G19" s="21"/>
      <c r="H19" s="21"/>
      <c r="I19" s="21"/>
      <c r="J19" s="21"/>
      <c r="K19" s="29"/>
      <c r="L19" s="29"/>
      <c r="M19" s="29"/>
      <c r="N19" s="3" t="s">
        <v>0</v>
      </c>
    </row>
    <row r="20" spans="1:13" ht="13.5">
      <c r="A20" s="10"/>
      <c r="B20" s="31" t="s">
        <v>95</v>
      </c>
      <c r="C20" s="21"/>
      <c r="D20" s="22"/>
      <c r="E20" s="22"/>
      <c r="F20" s="21"/>
      <c r="G20" s="21"/>
      <c r="H20" s="21"/>
      <c r="I20" s="21"/>
      <c r="J20" s="21"/>
      <c r="K20" s="29" t="s">
        <v>0</v>
      </c>
      <c r="L20" s="29"/>
      <c r="M20" s="29"/>
    </row>
    <row r="21" spans="2:6" ht="13.5">
      <c r="B21" s="27"/>
      <c r="C21" s="17"/>
      <c r="D21" s="27"/>
      <c r="E21" s="27"/>
      <c r="F21" s="17"/>
    </row>
  </sheetData>
  <sheetProtection/>
  <mergeCells count="4">
    <mergeCell ref="B3:C3"/>
    <mergeCell ref="H1:I1"/>
    <mergeCell ref="H2:I2"/>
    <mergeCell ref="K2:M2"/>
  </mergeCells>
  <printOptions/>
  <pageMargins left="0.19" right="0.17" top="0.42" bottom="0.53" header="0.2" footer="0.2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X20" sqref="X20"/>
    </sheetView>
  </sheetViews>
  <sheetFormatPr defaultColWidth="9.140625" defaultRowHeight="12.75"/>
  <cols>
    <col min="1" max="1" width="3.421875" style="43" customWidth="1"/>
    <col min="2" max="2" width="24.7109375" style="44" customWidth="1"/>
    <col min="3" max="3" width="8.00390625" style="44" customWidth="1"/>
    <col min="4" max="4" width="9.8515625" style="44" bestFit="1" customWidth="1"/>
    <col min="5" max="5" width="11.7109375" style="44" customWidth="1"/>
    <col min="6" max="6" width="9.00390625" style="182" customWidth="1"/>
    <col min="7" max="8" width="11.57421875" style="182" customWidth="1"/>
    <col min="9" max="9" width="9.57421875" style="44" bestFit="1" customWidth="1"/>
    <col min="10" max="10" width="9.57421875" style="44" customWidth="1"/>
    <col min="11" max="11" width="10.8515625" style="44" bestFit="1" customWidth="1"/>
    <col min="12" max="12" width="9.7109375" style="44" customWidth="1"/>
    <col min="13" max="13" width="11.140625" style="44" customWidth="1"/>
    <col min="14" max="14" width="10.8515625" style="182" customWidth="1"/>
    <col min="15" max="16" width="11.57421875" style="182" customWidth="1"/>
    <col min="17" max="17" width="9.57421875" style="44" bestFit="1" customWidth="1"/>
    <col min="18" max="18" width="9.57421875" style="44" customWidth="1"/>
    <col min="19" max="19" width="10.8515625" style="44" bestFit="1" customWidth="1"/>
    <col min="20" max="20" width="9.57421875" style="44" customWidth="1"/>
    <col min="21" max="21" width="11.140625" style="44" customWidth="1"/>
    <col min="22" max="22" width="10.7109375" style="44" bestFit="1" customWidth="1"/>
    <col min="23" max="16384" width="9.140625" style="44" customWidth="1"/>
  </cols>
  <sheetData>
    <row r="1" spans="1:26" s="55" customFormat="1" ht="34.5">
      <c r="A1" s="102"/>
      <c r="B1" s="103"/>
      <c r="C1" s="103"/>
      <c r="D1" s="103"/>
      <c r="E1" s="103"/>
      <c r="F1" s="103"/>
      <c r="G1" s="104"/>
      <c r="H1" s="104"/>
      <c r="I1" s="104"/>
      <c r="J1" s="104"/>
      <c r="K1" s="103"/>
      <c r="L1" s="103"/>
      <c r="M1" s="92"/>
      <c r="N1" s="92"/>
      <c r="O1" s="92"/>
      <c r="P1" s="92"/>
      <c r="Q1" s="92"/>
      <c r="R1" s="92"/>
      <c r="S1" s="45"/>
      <c r="T1" s="93" t="s">
        <v>83</v>
      </c>
      <c r="U1" s="103"/>
      <c r="V1" s="1058"/>
      <c r="W1" s="1058"/>
      <c r="X1" s="1058"/>
      <c r="Y1" s="1058"/>
      <c r="Z1" s="1058"/>
    </row>
    <row r="2" spans="1:26" s="55" customFormat="1" ht="17.25">
      <c r="A2" s="102"/>
      <c r="B2" s="103"/>
      <c r="C2" s="103"/>
      <c r="D2" s="103"/>
      <c r="E2" s="103"/>
      <c r="F2" s="103"/>
      <c r="G2" s="104"/>
      <c r="H2" s="104"/>
      <c r="I2" s="104"/>
      <c r="J2" s="104"/>
      <c r="K2" s="103"/>
      <c r="L2" s="103"/>
      <c r="M2" s="92"/>
      <c r="N2" s="92"/>
      <c r="O2" s="92"/>
      <c r="P2" s="92"/>
      <c r="Q2" s="92"/>
      <c r="R2" s="92"/>
      <c r="S2" s="1058" t="s">
        <v>9</v>
      </c>
      <c r="T2" s="1058"/>
      <c r="U2" s="1058"/>
      <c r="V2" s="1058"/>
      <c r="W2" s="1058"/>
      <c r="X2" s="1058"/>
      <c r="Y2" s="1058"/>
      <c r="Z2" s="1058"/>
    </row>
    <row r="3" spans="2:23" s="55" customFormat="1" ht="18" thickBot="1">
      <c r="B3" s="1011" t="s">
        <v>1102</v>
      </c>
      <c r="C3" s="1011"/>
      <c r="D3" s="1011"/>
      <c r="E3" s="1011"/>
      <c r="F3" s="1011"/>
      <c r="G3" s="205"/>
      <c r="H3" s="205"/>
      <c r="I3" s="205"/>
      <c r="J3" s="205"/>
      <c r="K3" s="206"/>
      <c r="L3" s="206"/>
      <c r="M3" s="92"/>
      <c r="N3" s="92"/>
      <c r="O3" s="92"/>
      <c r="P3" s="92"/>
      <c r="Q3" s="92"/>
      <c r="R3" s="92"/>
      <c r="S3" s="92"/>
      <c r="T3" s="92"/>
      <c r="U3" s="92"/>
      <c r="W3" s="55" t="s">
        <v>0</v>
      </c>
    </row>
    <row r="4" spans="1:21" s="55" customFormat="1" ht="17.25">
      <c r="A4" s="45"/>
      <c r="B4" s="1062" t="s">
        <v>98</v>
      </c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93"/>
      <c r="O4" s="93"/>
      <c r="P4" s="93"/>
      <c r="Q4" s="93"/>
      <c r="R4" s="93"/>
      <c r="S4" s="93"/>
      <c r="T4" s="93"/>
      <c r="U4" s="93"/>
    </row>
    <row r="5" spans="1:21" s="55" customFormat="1" ht="17.25">
      <c r="A5" s="45"/>
      <c r="B5" s="113"/>
      <c r="C5" s="113"/>
      <c r="D5" s="113"/>
      <c r="E5" s="113"/>
      <c r="F5" s="208"/>
      <c r="G5" s="208"/>
      <c r="H5" s="208"/>
      <c r="I5" s="113"/>
      <c r="J5" s="113"/>
      <c r="K5" s="113"/>
      <c r="L5" s="113"/>
      <c r="M5" s="113"/>
      <c r="N5" s="209"/>
      <c r="O5" s="209"/>
      <c r="P5" s="209"/>
      <c r="Q5" s="112"/>
      <c r="R5" s="112"/>
      <c r="S5" s="112"/>
      <c r="T5" s="112"/>
      <c r="U5" s="112"/>
    </row>
    <row r="6" spans="1:21" s="55" customFormat="1" ht="17.25">
      <c r="A6" s="45"/>
      <c r="B6" s="1062" t="s">
        <v>864</v>
      </c>
      <c r="C6" s="1062"/>
      <c r="D6" s="1062"/>
      <c r="E6" s="1062"/>
      <c r="F6" s="1062"/>
      <c r="G6" s="1062"/>
      <c r="H6" s="1062"/>
      <c r="I6" s="1062"/>
      <c r="J6" s="1062"/>
      <c r="K6" s="1062"/>
      <c r="L6" s="1062"/>
      <c r="M6" s="1062"/>
      <c r="N6" s="207"/>
      <c r="O6" s="207"/>
      <c r="P6" s="207"/>
      <c r="Q6" s="207"/>
      <c r="R6" s="207"/>
      <c r="S6" s="207"/>
      <c r="T6" s="207"/>
      <c r="U6" s="207"/>
    </row>
    <row r="7" spans="1:21" s="55" customFormat="1" ht="17.25">
      <c r="A7" s="45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</row>
    <row r="8" spans="1:22" s="55" customFormat="1" ht="18" thickBot="1">
      <c r="A8" s="4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1063" t="s">
        <v>99</v>
      </c>
      <c r="V8" s="1063"/>
    </row>
    <row r="9" spans="1:22" ht="15" customHeight="1">
      <c r="A9" s="1064" t="s">
        <v>63</v>
      </c>
      <c r="B9" s="1066" t="s">
        <v>100</v>
      </c>
      <c r="C9" s="1068" t="s">
        <v>225</v>
      </c>
      <c r="D9" s="1076" t="s">
        <v>853</v>
      </c>
      <c r="E9" s="1077"/>
      <c r="F9" s="1070" t="s">
        <v>232</v>
      </c>
      <c r="G9" s="1071"/>
      <c r="H9" s="1071"/>
      <c r="I9" s="1071"/>
      <c r="J9" s="1071"/>
      <c r="K9" s="1071"/>
      <c r="L9" s="1071"/>
      <c r="M9" s="1072"/>
      <c r="N9" s="1070" t="s">
        <v>240</v>
      </c>
      <c r="O9" s="1071"/>
      <c r="P9" s="1071"/>
      <c r="Q9" s="1071"/>
      <c r="R9" s="1071"/>
      <c r="S9" s="1071"/>
      <c r="T9" s="1071"/>
      <c r="U9" s="1072"/>
      <c r="V9" s="1073" t="s">
        <v>865</v>
      </c>
    </row>
    <row r="10" spans="1:22" ht="17.25">
      <c r="A10" s="1065"/>
      <c r="B10" s="1067"/>
      <c r="C10" s="1069"/>
      <c r="D10" s="210"/>
      <c r="E10" s="211"/>
      <c r="F10" s="212"/>
      <c r="G10" s="213"/>
      <c r="H10" s="1061" t="s">
        <v>103</v>
      </c>
      <c r="I10" s="1061"/>
      <c r="J10" s="1061" t="s">
        <v>107</v>
      </c>
      <c r="K10" s="1061"/>
      <c r="L10" s="213"/>
      <c r="M10" s="215"/>
      <c r="N10" s="212"/>
      <c r="O10" s="213"/>
      <c r="P10" s="1061" t="s">
        <v>103</v>
      </c>
      <c r="Q10" s="1061"/>
      <c r="R10" s="1061" t="s">
        <v>107</v>
      </c>
      <c r="S10" s="1061"/>
      <c r="T10" s="213"/>
      <c r="U10" s="215"/>
      <c r="V10" s="1074"/>
    </row>
    <row r="11" spans="1:22" ht="138.75" thickBot="1">
      <c r="A11" s="1065"/>
      <c r="B11" s="1067"/>
      <c r="C11" s="1069"/>
      <c r="D11" s="216" t="s">
        <v>102</v>
      </c>
      <c r="E11" s="217" t="s">
        <v>106</v>
      </c>
      <c r="F11" s="216" t="s">
        <v>101</v>
      </c>
      <c r="G11" s="218" t="s">
        <v>102</v>
      </c>
      <c r="H11" s="218" t="s">
        <v>104</v>
      </c>
      <c r="I11" s="218" t="s">
        <v>62</v>
      </c>
      <c r="J11" s="218" t="s">
        <v>104</v>
      </c>
      <c r="K11" s="218" t="s">
        <v>62</v>
      </c>
      <c r="L11" s="218" t="s">
        <v>105</v>
      </c>
      <c r="M11" s="217" t="s">
        <v>106</v>
      </c>
      <c r="N11" s="219" t="s">
        <v>101</v>
      </c>
      <c r="O11" s="220" t="s">
        <v>102</v>
      </c>
      <c r="P11" s="220" t="s">
        <v>104</v>
      </c>
      <c r="Q11" s="220" t="s">
        <v>62</v>
      </c>
      <c r="R11" s="220" t="s">
        <v>104</v>
      </c>
      <c r="S11" s="220" t="s">
        <v>62</v>
      </c>
      <c r="T11" s="220" t="s">
        <v>108</v>
      </c>
      <c r="U11" s="221" t="s">
        <v>106</v>
      </c>
      <c r="V11" s="1075"/>
    </row>
    <row r="12" spans="1:22" ht="18" thickBot="1">
      <c r="A12" s="222">
        <v>1</v>
      </c>
      <c r="B12" s="223">
        <v>2</v>
      </c>
      <c r="C12" s="224">
        <v>3</v>
      </c>
      <c r="D12" s="225">
        <v>4</v>
      </c>
      <c r="E12" s="226">
        <v>5</v>
      </c>
      <c r="F12" s="225">
        <v>6</v>
      </c>
      <c r="G12" s="227">
        <v>7</v>
      </c>
      <c r="H12" s="228">
        <v>8</v>
      </c>
      <c r="I12" s="227">
        <v>9</v>
      </c>
      <c r="J12" s="227">
        <v>10</v>
      </c>
      <c r="K12" s="228">
        <v>11</v>
      </c>
      <c r="L12" s="227">
        <v>12</v>
      </c>
      <c r="M12" s="224">
        <v>13</v>
      </c>
      <c r="N12" s="229">
        <v>14</v>
      </c>
      <c r="O12" s="227">
        <v>15</v>
      </c>
      <c r="P12" s="227">
        <v>16</v>
      </c>
      <c r="Q12" s="228">
        <v>17</v>
      </c>
      <c r="R12" s="227">
        <v>18</v>
      </c>
      <c r="S12" s="227">
        <v>19</v>
      </c>
      <c r="T12" s="228">
        <v>20</v>
      </c>
      <c r="U12" s="227">
        <v>21</v>
      </c>
      <c r="V12" s="224">
        <v>22</v>
      </c>
    </row>
    <row r="13" spans="1:22" ht="36.75" customHeight="1">
      <c r="A13" s="230"/>
      <c r="B13" s="231" t="s">
        <v>27</v>
      </c>
      <c r="C13" s="232" t="s">
        <v>1</v>
      </c>
      <c r="D13" s="232" t="s">
        <v>1</v>
      </c>
      <c r="E13" s="232" t="s">
        <v>1</v>
      </c>
      <c r="F13" s="232" t="s">
        <v>1</v>
      </c>
      <c r="G13" s="232" t="s">
        <v>1</v>
      </c>
      <c r="H13" s="232" t="s">
        <v>1</v>
      </c>
      <c r="I13" s="232" t="s">
        <v>1</v>
      </c>
      <c r="J13" s="232" t="s">
        <v>1</v>
      </c>
      <c r="K13" s="232" t="s">
        <v>1</v>
      </c>
      <c r="L13" s="232" t="s">
        <v>1</v>
      </c>
      <c r="M13" s="232" t="s">
        <v>1</v>
      </c>
      <c r="N13" s="232" t="s">
        <v>1</v>
      </c>
      <c r="O13" s="232" t="s">
        <v>1</v>
      </c>
      <c r="P13" s="232"/>
      <c r="Q13" s="232" t="s">
        <v>1</v>
      </c>
      <c r="R13" s="232" t="s">
        <v>1</v>
      </c>
      <c r="S13" s="232" t="s">
        <v>1</v>
      </c>
      <c r="T13" s="232" t="s">
        <v>1</v>
      </c>
      <c r="U13" s="232" t="s">
        <v>1</v>
      </c>
      <c r="V13" s="233" t="s">
        <v>1</v>
      </c>
    </row>
    <row r="14" spans="1:22" ht="18.75" customHeight="1">
      <c r="A14" s="210">
        <v>1</v>
      </c>
      <c r="B14" s="126" t="s">
        <v>868</v>
      </c>
      <c r="C14" s="126"/>
      <c r="D14" s="126">
        <v>7</v>
      </c>
      <c r="E14" s="126">
        <v>1031</v>
      </c>
      <c r="F14" s="214">
        <v>24</v>
      </c>
      <c r="G14" s="214">
        <v>5</v>
      </c>
      <c r="H14" s="183">
        <v>5</v>
      </c>
      <c r="I14" s="183">
        <f>F14*G14*H14</f>
        <v>600</v>
      </c>
      <c r="J14" s="183">
        <v>20</v>
      </c>
      <c r="K14" s="183">
        <f>(F14-1)*G14*J14</f>
        <v>2300</v>
      </c>
      <c r="L14" s="214">
        <v>3</v>
      </c>
      <c r="M14" s="183">
        <f>I14+K14+(L14*G14*2)</f>
        <v>2930</v>
      </c>
      <c r="N14" s="214">
        <v>24</v>
      </c>
      <c r="O14" s="214">
        <v>5</v>
      </c>
      <c r="P14" s="183">
        <v>5</v>
      </c>
      <c r="Q14" s="183">
        <f>N14*O14*P14</f>
        <v>600</v>
      </c>
      <c r="R14" s="183">
        <v>20</v>
      </c>
      <c r="S14" s="183">
        <f>(N14-1)*O14*R14</f>
        <v>2300</v>
      </c>
      <c r="T14" s="214">
        <v>3</v>
      </c>
      <c r="U14" s="183">
        <f>Q14+S14+(T14*O14*2)</f>
        <v>2930</v>
      </c>
      <c r="V14" s="234">
        <f>U14-M14</f>
        <v>0</v>
      </c>
    </row>
    <row r="15" spans="1:22" ht="18.75" customHeight="1">
      <c r="A15" s="210">
        <v>2</v>
      </c>
      <c r="B15" s="126" t="s">
        <v>797</v>
      </c>
      <c r="C15" s="126"/>
      <c r="D15" s="126"/>
      <c r="E15" s="126"/>
      <c r="F15" s="214">
        <v>24</v>
      </c>
      <c r="G15" s="214">
        <v>6</v>
      </c>
      <c r="H15" s="183">
        <v>5</v>
      </c>
      <c r="I15" s="183">
        <f>F15*G15*H15</f>
        <v>720</v>
      </c>
      <c r="J15" s="183">
        <v>20</v>
      </c>
      <c r="K15" s="183">
        <f>(F15-1)*G15*J15</f>
        <v>2760</v>
      </c>
      <c r="L15" s="214">
        <v>3</v>
      </c>
      <c r="M15" s="183">
        <f>I15+K15+(L15*G15*2)</f>
        <v>3516</v>
      </c>
      <c r="N15" s="214">
        <v>24</v>
      </c>
      <c r="O15" s="214">
        <v>6</v>
      </c>
      <c r="P15" s="183">
        <v>5</v>
      </c>
      <c r="Q15" s="183">
        <f>N15*O15*P15</f>
        <v>720</v>
      </c>
      <c r="R15" s="183">
        <v>20</v>
      </c>
      <c r="S15" s="183">
        <f>(N15-1)*O15*R15</f>
        <v>2760</v>
      </c>
      <c r="T15" s="214">
        <v>3</v>
      </c>
      <c r="U15" s="183">
        <f>Q15+S15+(T15*O15*2)</f>
        <v>3516</v>
      </c>
      <c r="V15" s="234">
        <f aca="true" t="shared" si="0" ref="V15:V23">U15-M15</f>
        <v>0</v>
      </c>
    </row>
    <row r="16" spans="1:22" ht="18.75" customHeight="1">
      <c r="A16" s="235">
        <v>3</v>
      </c>
      <c r="B16" s="95" t="s">
        <v>798</v>
      </c>
      <c r="C16" s="95"/>
      <c r="D16" s="95">
        <v>7</v>
      </c>
      <c r="E16" s="105">
        <v>2935</v>
      </c>
      <c r="F16" s="214">
        <v>24</v>
      </c>
      <c r="G16" s="214">
        <v>6</v>
      </c>
      <c r="H16" s="183">
        <v>5</v>
      </c>
      <c r="I16" s="183">
        <f>F16*G16*H16</f>
        <v>720</v>
      </c>
      <c r="J16" s="183">
        <v>20</v>
      </c>
      <c r="K16" s="183">
        <f>(F16-1)*G16*J16</f>
        <v>2760</v>
      </c>
      <c r="L16" s="214">
        <v>3</v>
      </c>
      <c r="M16" s="183">
        <f>I16+K16+(L16*G16*2)</f>
        <v>3516</v>
      </c>
      <c r="N16" s="214">
        <v>24</v>
      </c>
      <c r="O16" s="214">
        <v>6</v>
      </c>
      <c r="P16" s="183">
        <v>5</v>
      </c>
      <c r="Q16" s="183">
        <f>N16*O16*P16</f>
        <v>720</v>
      </c>
      <c r="R16" s="183">
        <v>20</v>
      </c>
      <c r="S16" s="183">
        <f>(N16-1)*O16*R16</f>
        <v>2760</v>
      </c>
      <c r="T16" s="214">
        <v>3</v>
      </c>
      <c r="U16" s="183">
        <f>Q16+S16+(T16*O16*2)</f>
        <v>3516</v>
      </c>
      <c r="V16" s="234">
        <f t="shared" si="0"/>
        <v>0</v>
      </c>
    </row>
    <row r="17" spans="1:22" ht="18.75" customHeight="1">
      <c r="A17" s="210">
        <v>4</v>
      </c>
      <c r="B17" s="95" t="s">
        <v>799</v>
      </c>
      <c r="C17" s="95"/>
      <c r="D17" s="95"/>
      <c r="E17" s="105"/>
      <c r="F17" s="214">
        <v>12</v>
      </c>
      <c r="G17" s="214">
        <v>7</v>
      </c>
      <c r="H17" s="183">
        <v>5</v>
      </c>
      <c r="I17" s="183">
        <f aca="true" t="shared" si="1" ref="I17:I22">F17*G17*H17</f>
        <v>420</v>
      </c>
      <c r="J17" s="183">
        <v>20</v>
      </c>
      <c r="K17" s="183">
        <f aca="true" t="shared" si="2" ref="K17:K22">(F17-1)*G17*J17</f>
        <v>1540</v>
      </c>
      <c r="L17" s="214">
        <v>3</v>
      </c>
      <c r="M17" s="183">
        <f aca="true" t="shared" si="3" ref="M17:M22">I17+K17+(L17*G17*2)</f>
        <v>2002</v>
      </c>
      <c r="N17" s="214">
        <v>12</v>
      </c>
      <c r="O17" s="214">
        <v>7</v>
      </c>
      <c r="P17" s="183">
        <v>5</v>
      </c>
      <c r="Q17" s="183">
        <f aca="true" t="shared" si="4" ref="Q17:Q22">N17*O17*P17</f>
        <v>420</v>
      </c>
      <c r="R17" s="183">
        <v>20</v>
      </c>
      <c r="S17" s="183">
        <f aca="true" t="shared" si="5" ref="S17:S22">(N17-1)*O17*R17</f>
        <v>1540</v>
      </c>
      <c r="T17" s="214">
        <v>3</v>
      </c>
      <c r="U17" s="183">
        <f aca="true" t="shared" si="6" ref="U17:U22">Q17+S17+(T17*O17*2)</f>
        <v>2002</v>
      </c>
      <c r="V17" s="234">
        <f t="shared" si="0"/>
        <v>0</v>
      </c>
    </row>
    <row r="18" spans="1:22" ht="18.75" customHeight="1">
      <c r="A18" s="210">
        <v>5</v>
      </c>
      <c r="B18" s="95" t="s">
        <v>800</v>
      </c>
      <c r="C18" s="95"/>
      <c r="D18" s="95">
        <v>7</v>
      </c>
      <c r="E18" s="243">
        <v>3493.5</v>
      </c>
      <c r="F18" s="214"/>
      <c r="G18" s="214"/>
      <c r="H18" s="183">
        <v>5</v>
      </c>
      <c r="I18" s="183">
        <f t="shared" si="1"/>
        <v>0</v>
      </c>
      <c r="J18" s="183">
        <v>20</v>
      </c>
      <c r="K18" s="183">
        <f t="shared" si="2"/>
        <v>0</v>
      </c>
      <c r="L18" s="214"/>
      <c r="M18" s="183">
        <f t="shared" si="3"/>
        <v>0</v>
      </c>
      <c r="N18" s="214"/>
      <c r="O18" s="214"/>
      <c r="P18" s="183">
        <v>5</v>
      </c>
      <c r="Q18" s="183">
        <f t="shared" si="4"/>
        <v>0</v>
      </c>
      <c r="R18" s="183">
        <v>20</v>
      </c>
      <c r="S18" s="183">
        <f t="shared" si="5"/>
        <v>0</v>
      </c>
      <c r="T18" s="214"/>
      <c r="U18" s="183">
        <f t="shared" si="6"/>
        <v>0</v>
      </c>
      <c r="V18" s="234">
        <f t="shared" si="0"/>
        <v>0</v>
      </c>
    </row>
    <row r="19" spans="1:22" ht="18.75" customHeight="1">
      <c r="A19" s="235">
        <v>6</v>
      </c>
      <c r="B19" s="95" t="s">
        <v>867</v>
      </c>
      <c r="C19" s="95"/>
      <c r="D19" s="95"/>
      <c r="E19" s="105"/>
      <c r="F19" s="214">
        <v>24</v>
      </c>
      <c r="G19" s="214">
        <v>6</v>
      </c>
      <c r="H19" s="183">
        <v>5</v>
      </c>
      <c r="I19" s="183">
        <f t="shared" si="1"/>
        <v>720</v>
      </c>
      <c r="J19" s="183">
        <v>20</v>
      </c>
      <c r="K19" s="183">
        <f t="shared" si="2"/>
        <v>2760</v>
      </c>
      <c r="L19" s="214">
        <v>3</v>
      </c>
      <c r="M19" s="183">
        <f t="shared" si="3"/>
        <v>3516</v>
      </c>
      <c r="N19" s="214">
        <v>24</v>
      </c>
      <c r="O19" s="214">
        <v>6</v>
      </c>
      <c r="P19" s="183">
        <v>5</v>
      </c>
      <c r="Q19" s="183">
        <f t="shared" si="4"/>
        <v>720</v>
      </c>
      <c r="R19" s="183">
        <v>20</v>
      </c>
      <c r="S19" s="183">
        <f t="shared" si="5"/>
        <v>2760</v>
      </c>
      <c r="T19" s="214">
        <v>3</v>
      </c>
      <c r="U19" s="183">
        <f t="shared" si="6"/>
        <v>3516</v>
      </c>
      <c r="V19" s="234">
        <f t="shared" si="0"/>
        <v>0</v>
      </c>
    </row>
    <row r="20" spans="1:22" ht="18.75" customHeight="1">
      <c r="A20" s="210">
        <v>7</v>
      </c>
      <c r="B20" s="95" t="s">
        <v>801</v>
      </c>
      <c r="C20" s="95"/>
      <c r="D20" s="95"/>
      <c r="E20" s="105"/>
      <c r="F20" s="214"/>
      <c r="G20" s="214"/>
      <c r="H20" s="183">
        <v>5</v>
      </c>
      <c r="I20" s="183">
        <f t="shared" si="1"/>
        <v>0</v>
      </c>
      <c r="J20" s="183">
        <v>20</v>
      </c>
      <c r="K20" s="183">
        <f t="shared" si="2"/>
        <v>0</v>
      </c>
      <c r="L20" s="214"/>
      <c r="M20" s="183">
        <f t="shared" si="3"/>
        <v>0</v>
      </c>
      <c r="N20" s="214"/>
      <c r="O20" s="214"/>
      <c r="P20" s="183">
        <v>5</v>
      </c>
      <c r="Q20" s="183">
        <f t="shared" si="4"/>
        <v>0</v>
      </c>
      <c r="R20" s="183">
        <v>20</v>
      </c>
      <c r="S20" s="183">
        <f t="shared" si="5"/>
        <v>0</v>
      </c>
      <c r="T20" s="214"/>
      <c r="U20" s="183">
        <f t="shared" si="6"/>
        <v>0</v>
      </c>
      <c r="V20" s="234">
        <f t="shared" si="0"/>
        <v>0</v>
      </c>
    </row>
    <row r="21" spans="1:22" ht="18.75" customHeight="1">
      <c r="A21" s="210">
        <v>8</v>
      </c>
      <c r="B21" s="95" t="s">
        <v>802</v>
      </c>
      <c r="C21" s="95"/>
      <c r="D21" s="95"/>
      <c r="E21" s="105"/>
      <c r="F21" s="214">
        <v>12</v>
      </c>
      <c r="G21" s="214">
        <v>6</v>
      </c>
      <c r="H21" s="183">
        <v>5</v>
      </c>
      <c r="I21" s="183">
        <f t="shared" si="1"/>
        <v>360</v>
      </c>
      <c r="J21" s="183">
        <v>20</v>
      </c>
      <c r="K21" s="183">
        <f t="shared" si="2"/>
        <v>1320</v>
      </c>
      <c r="L21" s="214">
        <v>4</v>
      </c>
      <c r="M21" s="183">
        <f t="shared" si="3"/>
        <v>1728</v>
      </c>
      <c r="N21" s="214">
        <v>12</v>
      </c>
      <c r="O21" s="214">
        <v>6</v>
      </c>
      <c r="P21" s="183">
        <v>5</v>
      </c>
      <c r="Q21" s="183">
        <f t="shared" si="4"/>
        <v>360</v>
      </c>
      <c r="R21" s="183">
        <v>20</v>
      </c>
      <c r="S21" s="183">
        <f t="shared" si="5"/>
        <v>1320</v>
      </c>
      <c r="T21" s="214">
        <v>4</v>
      </c>
      <c r="U21" s="183">
        <f t="shared" si="6"/>
        <v>1728</v>
      </c>
      <c r="V21" s="234">
        <f t="shared" si="0"/>
        <v>0</v>
      </c>
    </row>
    <row r="22" spans="1:22" ht="18.75" customHeight="1" thickBot="1">
      <c r="A22" s="235">
        <v>9</v>
      </c>
      <c r="B22" s="95" t="s">
        <v>803</v>
      </c>
      <c r="C22" s="95"/>
      <c r="D22" s="95"/>
      <c r="E22" s="105"/>
      <c r="F22" s="214">
        <v>12</v>
      </c>
      <c r="G22" s="214">
        <v>6</v>
      </c>
      <c r="H22" s="183">
        <v>5</v>
      </c>
      <c r="I22" s="183">
        <f t="shared" si="1"/>
        <v>360</v>
      </c>
      <c r="J22" s="183">
        <v>0</v>
      </c>
      <c r="K22" s="183">
        <f t="shared" si="2"/>
        <v>0</v>
      </c>
      <c r="L22" s="214">
        <v>3</v>
      </c>
      <c r="M22" s="183">
        <f t="shared" si="3"/>
        <v>396</v>
      </c>
      <c r="N22" s="214">
        <v>0</v>
      </c>
      <c r="O22" s="214">
        <v>0</v>
      </c>
      <c r="P22" s="183">
        <v>5</v>
      </c>
      <c r="Q22" s="183">
        <f t="shared" si="4"/>
        <v>0</v>
      </c>
      <c r="R22" s="183">
        <v>20</v>
      </c>
      <c r="S22" s="183">
        <f t="shared" si="5"/>
        <v>0</v>
      </c>
      <c r="T22" s="214">
        <v>0</v>
      </c>
      <c r="U22" s="183">
        <f t="shared" si="6"/>
        <v>0</v>
      </c>
      <c r="V22" s="234">
        <f t="shared" si="0"/>
        <v>-396</v>
      </c>
    </row>
    <row r="23" spans="1:22" ht="42.75" customHeight="1" thickBot="1">
      <c r="A23" s="225"/>
      <c r="B23" s="239" t="s">
        <v>866</v>
      </c>
      <c r="C23" s="239"/>
      <c r="D23" s="239"/>
      <c r="E23" s="240">
        <f>SUM(E14:E22)</f>
        <v>7459.5</v>
      </c>
      <c r="F23" s="241"/>
      <c r="G23" s="241"/>
      <c r="H23" s="241"/>
      <c r="I23" s="242">
        <f>SUM(I13:I16)</f>
        <v>2040</v>
      </c>
      <c r="J23" s="242"/>
      <c r="K23" s="242">
        <f>SUM(K13:K16)</f>
        <v>7820</v>
      </c>
      <c r="L23" s="242"/>
      <c r="M23" s="242">
        <f>M14+M15+M16+M17+M18+M19+M20+M21+M22</f>
        <v>17604</v>
      </c>
      <c r="N23" s="241"/>
      <c r="O23" s="241"/>
      <c r="P23" s="241"/>
      <c r="Q23" s="242">
        <f>Q14+Q15+Q16+Q17+Q18+Q19+Q20+Q21+Q22</f>
        <v>3540</v>
      </c>
      <c r="R23" s="242"/>
      <c r="S23" s="242">
        <f>S14+S15+S16+S17+S18+S19+S20+S21+S22</f>
        <v>13440</v>
      </c>
      <c r="T23" s="242"/>
      <c r="U23" s="242">
        <f>U14+U15+U16+U17+U18+U19+U20+U21+U22</f>
        <v>17208</v>
      </c>
      <c r="V23" s="234">
        <f t="shared" si="0"/>
        <v>-396</v>
      </c>
    </row>
    <row r="24" spans="2:21" ht="17.25">
      <c r="B24" s="236"/>
      <c r="C24" s="236"/>
      <c r="D24" s="236"/>
      <c r="E24" s="236"/>
      <c r="F24" s="237"/>
      <c r="G24" s="238"/>
      <c r="H24" s="238"/>
      <c r="I24" s="238"/>
      <c r="J24" s="238"/>
      <c r="K24" s="238"/>
      <c r="L24" s="238"/>
      <c r="M24" s="238"/>
      <c r="N24" s="237"/>
      <c r="O24" s="238"/>
      <c r="P24" s="238"/>
      <c r="Q24" s="238"/>
      <c r="R24" s="238"/>
      <c r="S24" s="238"/>
      <c r="T24" s="238"/>
      <c r="U24" s="238"/>
    </row>
    <row r="27" ht="17.25">
      <c r="S27" s="178"/>
    </row>
  </sheetData>
  <sheetProtection/>
  <mergeCells count="20">
    <mergeCell ref="J10:K10"/>
    <mergeCell ref="V1:W1"/>
    <mergeCell ref="X1:Z1"/>
    <mergeCell ref="S2:U2"/>
    <mergeCell ref="V2:W2"/>
    <mergeCell ref="D9:E9"/>
    <mergeCell ref="P10:Q10"/>
    <mergeCell ref="B3:F3"/>
    <mergeCell ref="X2:Z2"/>
    <mergeCell ref="B4:M4"/>
    <mergeCell ref="R10:S10"/>
    <mergeCell ref="B6:M6"/>
    <mergeCell ref="U8:V8"/>
    <mergeCell ref="A9:A11"/>
    <mergeCell ref="B9:B11"/>
    <mergeCell ref="C9:C11"/>
    <mergeCell ref="F9:M9"/>
    <mergeCell ref="N9:U9"/>
    <mergeCell ref="V9:V11"/>
    <mergeCell ref="H10:I10"/>
  </mergeCells>
  <printOptions/>
  <pageMargins left="0.33" right="0.24" top="0.29" bottom="0.25" header="0.22" footer="0.17"/>
  <pageSetup horizontalDpi="600" verticalDpi="600" orientation="landscape" paperSize="9" scale="66" r:id="rId1"/>
  <colBreaks count="1" manualBreakCount="1">
    <brk id="2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140625" style="648" customWidth="1"/>
    <col min="2" max="2" width="39.28125" style="648" customWidth="1"/>
    <col min="3" max="3" width="28.57421875" style="648" customWidth="1"/>
    <col min="4" max="4" width="26.8515625" style="648" customWidth="1"/>
    <col min="5" max="5" width="27.140625" style="648" customWidth="1"/>
    <col min="6" max="6" width="20.57421875" style="648" customWidth="1"/>
    <col min="7" max="7" width="20.421875" style="648" customWidth="1"/>
    <col min="8" max="8" width="18.8515625" style="648" customWidth="1"/>
    <col min="9" max="9" width="17.57421875" style="648" customWidth="1"/>
    <col min="10" max="10" width="22.28125" style="648" customWidth="1"/>
    <col min="11" max="11" width="16.57421875" style="648" customWidth="1"/>
    <col min="12" max="13" width="21.8515625" style="648" customWidth="1"/>
    <col min="14" max="16384" width="9.140625" style="648" customWidth="1"/>
  </cols>
  <sheetData>
    <row r="1" spans="1:8" ht="17.25">
      <c r="A1" s="1103" t="s">
        <v>1107</v>
      </c>
      <c r="B1" s="1103"/>
      <c r="C1" s="646"/>
      <c r="D1" s="646"/>
      <c r="E1" s="646"/>
      <c r="F1" s="646"/>
      <c r="G1" s="647" t="s">
        <v>874</v>
      </c>
      <c r="H1" s="647"/>
    </row>
    <row r="2" spans="1:7" ht="22.5" customHeight="1">
      <c r="A2" s="1083" t="s">
        <v>911</v>
      </c>
      <c r="B2" s="1083"/>
      <c r="C2" s="1083"/>
      <c r="D2" s="1083"/>
      <c r="E2" s="1083"/>
      <c r="F2" s="1083"/>
      <c r="G2" s="1083"/>
    </row>
    <row r="3" spans="1:7" ht="56.25" customHeight="1">
      <c r="A3" s="1083"/>
      <c r="B3" s="1083"/>
      <c r="C3" s="1083"/>
      <c r="D3" s="1083"/>
      <c r="E3" s="1083"/>
      <c r="F3" s="1083"/>
      <c r="G3" s="1083"/>
    </row>
    <row r="4" spans="1:7" ht="20.25" customHeight="1" thickBot="1">
      <c r="A4" s="647"/>
      <c r="B4" s="646"/>
      <c r="C4" s="646"/>
      <c r="D4" s="646"/>
      <c r="E4" s="646"/>
      <c r="F4" s="646"/>
      <c r="G4" s="646"/>
    </row>
    <row r="5" spans="1:9" ht="17.25">
      <c r="A5" s="1096" t="s">
        <v>875</v>
      </c>
      <c r="B5" s="1096" t="s">
        <v>876</v>
      </c>
      <c r="C5" s="649" t="s">
        <v>877</v>
      </c>
      <c r="D5" s="649" t="s">
        <v>879</v>
      </c>
      <c r="E5" s="649" t="s">
        <v>881</v>
      </c>
      <c r="F5" s="1096" t="s">
        <v>884</v>
      </c>
      <c r="G5" s="650" t="s">
        <v>885</v>
      </c>
      <c r="H5" s="1093" t="s">
        <v>918</v>
      </c>
      <c r="I5" s="651"/>
    </row>
    <row r="6" spans="1:8" ht="17.25">
      <c r="A6" s="1097"/>
      <c r="B6" s="1097"/>
      <c r="C6" s="652" t="s">
        <v>878</v>
      </c>
      <c r="D6" s="652" t="s">
        <v>880</v>
      </c>
      <c r="E6" s="652" t="s">
        <v>882</v>
      </c>
      <c r="F6" s="1097"/>
      <c r="G6" s="653" t="s">
        <v>919</v>
      </c>
      <c r="H6" s="1094"/>
    </row>
    <row r="7" spans="1:8" ht="18" thickBot="1">
      <c r="A7" s="1098"/>
      <c r="B7" s="1098"/>
      <c r="C7" s="654"/>
      <c r="D7" s="654"/>
      <c r="E7" s="655" t="s">
        <v>883</v>
      </c>
      <c r="F7" s="1098"/>
      <c r="G7" s="656"/>
      <c r="H7" s="1095"/>
    </row>
    <row r="8" spans="1:8" ht="87.75" customHeight="1">
      <c r="A8" s="1085">
        <v>1</v>
      </c>
      <c r="B8" s="1085" t="s">
        <v>795</v>
      </c>
      <c r="C8" s="1085" t="s">
        <v>1120</v>
      </c>
      <c r="D8" s="1085">
        <v>2</v>
      </c>
      <c r="E8" s="1085">
        <v>3</v>
      </c>
      <c r="F8" s="1091" t="s">
        <v>886</v>
      </c>
      <c r="G8" s="1079">
        <v>15000</v>
      </c>
      <c r="H8" s="1089">
        <f>G8*410/1000</f>
        <v>6150</v>
      </c>
    </row>
    <row r="9" spans="1:8" ht="18.75" customHeight="1" thickBot="1">
      <c r="A9" s="1086"/>
      <c r="B9" s="1086"/>
      <c r="C9" s="1086"/>
      <c r="D9" s="1086"/>
      <c r="E9" s="1086"/>
      <c r="F9" s="1092"/>
      <c r="G9" s="1080"/>
      <c r="H9" s="1090"/>
    </row>
    <row r="10" spans="1:8" ht="69.75" thickBot="1">
      <c r="A10" s="657">
        <v>2</v>
      </c>
      <c r="B10" s="658" t="s">
        <v>869</v>
      </c>
      <c r="C10" s="658" t="s">
        <v>887</v>
      </c>
      <c r="D10" s="658">
        <v>1</v>
      </c>
      <c r="E10" s="658">
        <v>3</v>
      </c>
      <c r="F10" s="659" t="s">
        <v>888</v>
      </c>
      <c r="G10" s="660">
        <v>9000</v>
      </c>
      <c r="H10" s="661">
        <f aca="true" t="shared" si="0" ref="H10:H26">G10*410/1000</f>
        <v>3690</v>
      </c>
    </row>
    <row r="11" spans="1:8" ht="52.5" thickBot="1">
      <c r="A11" s="657">
        <v>3</v>
      </c>
      <c r="B11" s="658" t="s">
        <v>870</v>
      </c>
      <c r="C11" s="658" t="s">
        <v>887</v>
      </c>
      <c r="D11" s="658">
        <v>1</v>
      </c>
      <c r="E11" s="658">
        <v>3</v>
      </c>
      <c r="F11" s="659" t="s">
        <v>886</v>
      </c>
      <c r="G11" s="660">
        <v>7500</v>
      </c>
      <c r="H11" s="661">
        <f t="shared" si="0"/>
        <v>3075</v>
      </c>
    </row>
    <row r="12" spans="1:8" ht="120.75" customHeight="1">
      <c r="A12" s="1085">
        <v>4</v>
      </c>
      <c r="B12" s="1085" t="s">
        <v>871</v>
      </c>
      <c r="C12" s="1085" t="s">
        <v>889</v>
      </c>
      <c r="D12" s="1085">
        <v>1</v>
      </c>
      <c r="E12" s="1085">
        <v>2</v>
      </c>
      <c r="F12" s="1091" t="s">
        <v>920</v>
      </c>
      <c r="G12" s="1081">
        <v>26000</v>
      </c>
      <c r="H12" s="1089">
        <f t="shared" si="0"/>
        <v>10660</v>
      </c>
    </row>
    <row r="13" spans="1:8" ht="39.75" customHeight="1" thickBot="1">
      <c r="A13" s="1086"/>
      <c r="B13" s="1086"/>
      <c r="C13" s="1086"/>
      <c r="D13" s="1086"/>
      <c r="E13" s="1086"/>
      <c r="F13" s="1092"/>
      <c r="G13" s="1082"/>
      <c r="H13" s="1090"/>
    </row>
    <row r="14" spans="1:8" ht="73.5" customHeight="1">
      <c r="A14" s="1085">
        <v>5</v>
      </c>
      <c r="B14" s="1085" t="s">
        <v>872</v>
      </c>
      <c r="C14" s="1085" t="s">
        <v>889</v>
      </c>
      <c r="D14" s="1085">
        <v>1</v>
      </c>
      <c r="E14" s="1085">
        <v>2</v>
      </c>
      <c r="F14" s="662" t="s">
        <v>892</v>
      </c>
      <c r="G14" s="663">
        <v>36000</v>
      </c>
      <c r="H14" s="1089">
        <f t="shared" si="0"/>
        <v>14760</v>
      </c>
    </row>
    <row r="15" spans="1:8" ht="68.25" customHeight="1" thickBot="1">
      <c r="A15" s="1086"/>
      <c r="B15" s="1086"/>
      <c r="C15" s="1086"/>
      <c r="D15" s="1086"/>
      <c r="E15" s="1086"/>
      <c r="F15" s="659" t="s">
        <v>891</v>
      </c>
      <c r="G15" s="660"/>
      <c r="H15" s="1090"/>
    </row>
    <row r="16" spans="1:8" ht="52.5" thickBot="1">
      <c r="A16" s="657">
        <v>6</v>
      </c>
      <c r="B16" s="658" t="s">
        <v>873</v>
      </c>
      <c r="C16" s="658" t="s">
        <v>887</v>
      </c>
      <c r="D16" s="658">
        <v>1</v>
      </c>
      <c r="E16" s="658">
        <v>1</v>
      </c>
      <c r="F16" s="659" t="s">
        <v>886</v>
      </c>
      <c r="G16" s="660">
        <v>2500</v>
      </c>
      <c r="H16" s="661">
        <f t="shared" si="0"/>
        <v>1025</v>
      </c>
    </row>
    <row r="17" spans="1:8" ht="52.5" thickBot="1">
      <c r="A17" s="657">
        <v>7</v>
      </c>
      <c r="B17" s="658" t="s">
        <v>893</v>
      </c>
      <c r="C17" s="658" t="s">
        <v>887</v>
      </c>
      <c r="D17" s="658">
        <v>1</v>
      </c>
      <c r="E17" s="658">
        <v>2</v>
      </c>
      <c r="F17" s="659" t="s">
        <v>886</v>
      </c>
      <c r="G17" s="660">
        <v>5000</v>
      </c>
      <c r="H17" s="661">
        <f t="shared" si="0"/>
        <v>2050</v>
      </c>
    </row>
    <row r="18" spans="1:8" ht="52.5" thickBot="1">
      <c r="A18" s="657">
        <v>8</v>
      </c>
      <c r="B18" s="658" t="s">
        <v>894</v>
      </c>
      <c r="C18" s="658" t="s">
        <v>887</v>
      </c>
      <c r="D18" s="658">
        <v>1</v>
      </c>
      <c r="E18" s="658">
        <v>1</v>
      </c>
      <c r="F18" s="659" t="s">
        <v>886</v>
      </c>
      <c r="G18" s="660">
        <v>2500</v>
      </c>
      <c r="H18" s="661">
        <f t="shared" si="0"/>
        <v>1025</v>
      </c>
    </row>
    <row r="19" spans="1:8" ht="216.75" customHeight="1" thickBot="1">
      <c r="A19" s="657">
        <v>9</v>
      </c>
      <c r="B19" s="658" t="s">
        <v>895</v>
      </c>
      <c r="C19" s="658" t="s">
        <v>887</v>
      </c>
      <c r="D19" s="658">
        <v>1</v>
      </c>
      <c r="E19" s="658">
        <v>1</v>
      </c>
      <c r="F19" s="659" t="s">
        <v>896</v>
      </c>
      <c r="G19" s="660">
        <v>2000</v>
      </c>
      <c r="H19" s="661">
        <f t="shared" si="0"/>
        <v>820</v>
      </c>
    </row>
    <row r="20" spans="1:8" ht="52.5" thickBot="1">
      <c r="A20" s="657">
        <v>10</v>
      </c>
      <c r="B20" s="658" t="s">
        <v>897</v>
      </c>
      <c r="C20" s="658" t="s">
        <v>887</v>
      </c>
      <c r="D20" s="658">
        <v>1</v>
      </c>
      <c r="E20" s="658">
        <v>2</v>
      </c>
      <c r="F20" s="659" t="s">
        <v>896</v>
      </c>
      <c r="G20" s="660">
        <v>4000</v>
      </c>
      <c r="H20" s="661">
        <f t="shared" si="0"/>
        <v>1640</v>
      </c>
    </row>
    <row r="21" spans="1:8" ht="159" customHeight="1">
      <c r="A21" s="1085">
        <v>11</v>
      </c>
      <c r="B21" s="1085" t="s">
        <v>898</v>
      </c>
      <c r="C21" s="1085" t="s">
        <v>899</v>
      </c>
      <c r="D21" s="1085">
        <v>1</v>
      </c>
      <c r="E21" s="1085">
        <v>1</v>
      </c>
      <c r="F21" s="662" t="s">
        <v>900</v>
      </c>
      <c r="G21" s="1079">
        <v>1500</v>
      </c>
      <c r="H21" s="1089">
        <f t="shared" si="0"/>
        <v>615</v>
      </c>
    </row>
    <row r="22" spans="1:8" ht="52.5" thickBot="1">
      <c r="A22" s="1086"/>
      <c r="B22" s="1086"/>
      <c r="C22" s="1086"/>
      <c r="D22" s="1086"/>
      <c r="E22" s="1086"/>
      <c r="F22" s="659" t="s">
        <v>901</v>
      </c>
      <c r="G22" s="1080"/>
      <c r="H22" s="1090"/>
    </row>
    <row r="23" spans="1:8" ht="52.5" thickBot="1">
      <c r="A23" s="657">
        <v>12</v>
      </c>
      <c r="B23" s="658" t="s">
        <v>902</v>
      </c>
      <c r="C23" s="658" t="s">
        <v>887</v>
      </c>
      <c r="D23" s="658">
        <v>2</v>
      </c>
      <c r="E23" s="658">
        <v>1</v>
      </c>
      <c r="F23" s="659" t="s">
        <v>896</v>
      </c>
      <c r="G23" s="660">
        <v>4000</v>
      </c>
      <c r="H23" s="661">
        <f t="shared" si="0"/>
        <v>1640</v>
      </c>
    </row>
    <row r="24" spans="1:8" ht="69.75" thickBot="1">
      <c r="A24" s="657">
        <v>13</v>
      </c>
      <c r="B24" s="658" t="s">
        <v>903</v>
      </c>
      <c r="C24" s="658" t="s">
        <v>887</v>
      </c>
      <c r="D24" s="658">
        <v>2</v>
      </c>
      <c r="E24" s="658">
        <v>2</v>
      </c>
      <c r="F24" s="659" t="s">
        <v>896</v>
      </c>
      <c r="G24" s="660">
        <v>8000</v>
      </c>
      <c r="H24" s="661">
        <f t="shared" si="0"/>
        <v>3280</v>
      </c>
    </row>
    <row r="25" spans="1:8" ht="77.25" customHeight="1" thickBot="1">
      <c r="A25" s="657">
        <v>14</v>
      </c>
      <c r="B25" s="658" t="s">
        <v>904</v>
      </c>
      <c r="C25" s="658" t="s">
        <v>905</v>
      </c>
      <c r="D25" s="658">
        <v>1</v>
      </c>
      <c r="E25" s="658">
        <v>2</v>
      </c>
      <c r="F25" s="659" t="s">
        <v>896</v>
      </c>
      <c r="G25" s="660">
        <v>4000</v>
      </c>
      <c r="H25" s="661">
        <f t="shared" si="0"/>
        <v>1640</v>
      </c>
    </row>
    <row r="26" spans="1:8" ht="69.75" thickBot="1">
      <c r="A26" s="657">
        <v>15</v>
      </c>
      <c r="B26" s="658" t="s">
        <v>906</v>
      </c>
      <c r="C26" s="658" t="s">
        <v>887</v>
      </c>
      <c r="D26" s="658">
        <v>2025</v>
      </c>
      <c r="E26" s="658">
        <v>2</v>
      </c>
      <c r="F26" s="659" t="s">
        <v>886</v>
      </c>
      <c r="G26" s="660">
        <v>5000</v>
      </c>
      <c r="H26" s="661">
        <f t="shared" si="0"/>
        <v>2050</v>
      </c>
    </row>
    <row r="27" spans="1:8" ht="17.25">
      <c r="A27" s="1099" t="s">
        <v>907</v>
      </c>
      <c r="B27" s="1100"/>
      <c r="C27" s="1087"/>
      <c r="D27" s="1087"/>
      <c r="E27" s="1087"/>
      <c r="F27" s="1087"/>
      <c r="G27" s="664">
        <v>132000</v>
      </c>
      <c r="H27" s="665">
        <f>SUM(H8:H26)</f>
        <v>54120</v>
      </c>
    </row>
    <row r="28" spans="1:8" ht="18" thickBot="1">
      <c r="A28" s="1101"/>
      <c r="B28" s="1102"/>
      <c r="C28" s="1088"/>
      <c r="D28" s="1088"/>
      <c r="E28" s="1088"/>
      <c r="F28" s="1088"/>
      <c r="G28" s="666" t="s">
        <v>908</v>
      </c>
      <c r="H28" s="661" t="s">
        <v>921</v>
      </c>
    </row>
    <row r="29" spans="1:7" ht="17.25">
      <c r="A29" s="328"/>
      <c r="B29" s="646"/>
      <c r="C29" s="646"/>
      <c r="D29" s="646"/>
      <c r="E29" s="646"/>
      <c r="F29" s="646"/>
      <c r="G29" s="646"/>
    </row>
    <row r="30" spans="1:7" ht="22.5" customHeight="1">
      <c r="A30" s="1083" t="s">
        <v>912</v>
      </c>
      <c r="B30" s="1083"/>
      <c r="C30" s="1083"/>
      <c r="D30" s="1083"/>
      <c r="E30" s="1083"/>
      <c r="F30" s="1083"/>
      <c r="G30" s="1083"/>
    </row>
    <row r="31" spans="1:7" ht="22.5" customHeight="1">
      <c r="A31" s="1083"/>
      <c r="B31" s="1083"/>
      <c r="C31" s="1083"/>
      <c r="D31" s="1083"/>
      <c r="E31" s="1083"/>
      <c r="F31" s="1083"/>
      <c r="G31" s="1083"/>
    </row>
    <row r="32" spans="1:7" ht="23.25" customHeight="1" thickBot="1">
      <c r="A32" s="1084"/>
      <c r="B32" s="1084"/>
      <c r="C32" s="1084"/>
      <c r="D32" s="1084"/>
      <c r="E32" s="1084"/>
      <c r="F32" s="1084"/>
      <c r="G32" s="1084"/>
    </row>
    <row r="33" spans="1:8" ht="17.25">
      <c r="A33" s="1096" t="s">
        <v>875</v>
      </c>
      <c r="B33" s="1096" t="s">
        <v>876</v>
      </c>
      <c r="C33" s="649" t="s">
        <v>877</v>
      </c>
      <c r="D33" s="649" t="s">
        <v>879</v>
      </c>
      <c r="E33" s="649" t="s">
        <v>881</v>
      </c>
      <c r="F33" s="1096" t="s">
        <v>884</v>
      </c>
      <c r="G33" s="650" t="s">
        <v>885</v>
      </c>
      <c r="H33" s="1093" t="s">
        <v>918</v>
      </c>
    </row>
    <row r="34" spans="1:8" ht="17.25">
      <c r="A34" s="1097"/>
      <c r="B34" s="1097"/>
      <c r="C34" s="652" t="s">
        <v>878</v>
      </c>
      <c r="D34" s="652" t="s">
        <v>880</v>
      </c>
      <c r="E34" s="652" t="s">
        <v>882</v>
      </c>
      <c r="F34" s="1097"/>
      <c r="G34" s="653" t="s">
        <v>919</v>
      </c>
      <c r="H34" s="1094"/>
    </row>
    <row r="35" spans="1:8" ht="18" thickBot="1">
      <c r="A35" s="1098"/>
      <c r="B35" s="1098"/>
      <c r="C35" s="654"/>
      <c r="D35" s="654"/>
      <c r="E35" s="655" t="s">
        <v>883</v>
      </c>
      <c r="F35" s="1098"/>
      <c r="G35" s="656"/>
      <c r="H35" s="1095"/>
    </row>
    <row r="36" spans="1:8" ht="67.5" customHeight="1">
      <c r="A36" s="1085">
        <v>1</v>
      </c>
      <c r="B36" s="1085" t="s">
        <v>795</v>
      </c>
      <c r="C36" s="1085" t="s">
        <v>1120</v>
      </c>
      <c r="D36" s="1085">
        <v>2</v>
      </c>
      <c r="E36" s="1085">
        <v>3</v>
      </c>
      <c r="F36" s="1091" t="s">
        <v>886</v>
      </c>
      <c r="G36" s="1079">
        <v>15000</v>
      </c>
      <c r="H36" s="1078">
        <f>G36*410/1000</f>
        <v>6150</v>
      </c>
    </row>
    <row r="37" spans="1:8" ht="15.75" thickBot="1">
      <c r="A37" s="1086"/>
      <c r="B37" s="1086"/>
      <c r="C37" s="1086"/>
      <c r="D37" s="1086"/>
      <c r="E37" s="1086"/>
      <c r="F37" s="1092"/>
      <c r="G37" s="1080"/>
      <c r="H37" s="1078"/>
    </row>
    <row r="38" spans="1:8" ht="52.5" thickBot="1">
      <c r="A38" s="657">
        <v>5</v>
      </c>
      <c r="B38" s="658" t="s">
        <v>870</v>
      </c>
      <c r="C38" s="658" t="s">
        <v>887</v>
      </c>
      <c r="D38" s="658">
        <v>1</v>
      </c>
      <c r="E38" s="658">
        <v>3</v>
      </c>
      <c r="F38" s="659" t="s">
        <v>886</v>
      </c>
      <c r="G38" s="660">
        <v>7500</v>
      </c>
      <c r="H38" s="1078">
        <f>G38*410/1000</f>
        <v>3075</v>
      </c>
    </row>
    <row r="39" spans="1:8" ht="20.25" customHeight="1" hidden="1">
      <c r="A39" s="1085">
        <v>6</v>
      </c>
      <c r="B39" s="1085" t="s">
        <v>871</v>
      </c>
      <c r="C39" s="1085" t="s">
        <v>889</v>
      </c>
      <c r="D39" s="1085">
        <v>1</v>
      </c>
      <c r="E39" s="1085">
        <v>2</v>
      </c>
      <c r="F39" s="1091" t="s">
        <v>890</v>
      </c>
      <c r="G39" s="1081">
        <v>26000</v>
      </c>
      <c r="H39" s="1078"/>
    </row>
    <row r="40" spans="1:8" ht="228" customHeight="1" thickBot="1">
      <c r="A40" s="1086"/>
      <c r="B40" s="1086"/>
      <c r="C40" s="1086"/>
      <c r="D40" s="1086"/>
      <c r="E40" s="1086"/>
      <c r="F40" s="1092"/>
      <c r="G40" s="1080"/>
      <c r="H40" s="661">
        <f>G39*410/1000</f>
        <v>10660</v>
      </c>
    </row>
    <row r="41" spans="1:8" ht="39.75" customHeight="1">
      <c r="A41" s="1085">
        <v>7</v>
      </c>
      <c r="B41" s="1085" t="s">
        <v>872</v>
      </c>
      <c r="C41" s="1085" t="s">
        <v>889</v>
      </c>
      <c r="D41" s="1085">
        <v>1</v>
      </c>
      <c r="E41" s="1085">
        <v>2</v>
      </c>
      <c r="F41" s="662" t="s">
        <v>892</v>
      </c>
      <c r="G41" s="1081">
        <v>36000</v>
      </c>
      <c r="H41" s="1078">
        <f>G41*410/1000</f>
        <v>14760</v>
      </c>
    </row>
    <row r="42" spans="1:8" ht="35.25" thickBot="1">
      <c r="A42" s="1086"/>
      <c r="B42" s="1086"/>
      <c r="C42" s="1086"/>
      <c r="D42" s="1086"/>
      <c r="E42" s="1086"/>
      <c r="F42" s="659" t="s">
        <v>891</v>
      </c>
      <c r="G42" s="1082"/>
      <c r="H42" s="1078"/>
    </row>
    <row r="43" spans="1:8" ht="52.5" thickBot="1">
      <c r="A43" s="657">
        <v>8</v>
      </c>
      <c r="B43" s="658" t="s">
        <v>873</v>
      </c>
      <c r="C43" s="658" t="s">
        <v>887</v>
      </c>
      <c r="D43" s="658">
        <v>1</v>
      </c>
      <c r="E43" s="658">
        <v>1</v>
      </c>
      <c r="F43" s="659" t="s">
        <v>886</v>
      </c>
      <c r="G43" s="660">
        <v>2500</v>
      </c>
      <c r="H43" s="661">
        <f aca="true" t="shared" si="1" ref="H43:H48">G43*410/1000</f>
        <v>1025</v>
      </c>
    </row>
    <row r="44" spans="1:8" ht="52.5" thickBot="1">
      <c r="A44" s="657">
        <v>9</v>
      </c>
      <c r="B44" s="658" t="s">
        <v>893</v>
      </c>
      <c r="C44" s="658" t="s">
        <v>887</v>
      </c>
      <c r="D44" s="658">
        <v>1</v>
      </c>
      <c r="E44" s="658">
        <v>2</v>
      </c>
      <c r="F44" s="659" t="s">
        <v>886</v>
      </c>
      <c r="G44" s="660">
        <v>5000</v>
      </c>
      <c r="H44" s="661">
        <f t="shared" si="1"/>
        <v>2050</v>
      </c>
    </row>
    <row r="45" spans="1:8" ht="52.5" thickBot="1">
      <c r="A45" s="657">
        <v>10</v>
      </c>
      <c r="B45" s="658" t="s">
        <v>894</v>
      </c>
      <c r="C45" s="658" t="s">
        <v>887</v>
      </c>
      <c r="D45" s="658">
        <v>1</v>
      </c>
      <c r="E45" s="658">
        <v>1</v>
      </c>
      <c r="F45" s="659" t="s">
        <v>886</v>
      </c>
      <c r="G45" s="660">
        <v>2500</v>
      </c>
      <c r="H45" s="661">
        <f t="shared" si="1"/>
        <v>1025</v>
      </c>
    </row>
    <row r="46" spans="1:8" ht="86.25" customHeight="1" thickBot="1">
      <c r="A46" s="657">
        <v>11</v>
      </c>
      <c r="B46" s="658" t="s">
        <v>895</v>
      </c>
      <c r="C46" s="658" t="s">
        <v>887</v>
      </c>
      <c r="D46" s="658">
        <v>1</v>
      </c>
      <c r="E46" s="658">
        <v>1</v>
      </c>
      <c r="F46" s="659" t="s">
        <v>896</v>
      </c>
      <c r="G46" s="660">
        <v>2000</v>
      </c>
      <c r="H46" s="661">
        <f t="shared" si="1"/>
        <v>820</v>
      </c>
    </row>
    <row r="47" spans="1:8" ht="52.5" thickBot="1">
      <c r="A47" s="657">
        <v>12</v>
      </c>
      <c r="B47" s="658" t="s">
        <v>897</v>
      </c>
      <c r="C47" s="658" t="s">
        <v>887</v>
      </c>
      <c r="D47" s="658">
        <v>1</v>
      </c>
      <c r="E47" s="658">
        <v>2</v>
      </c>
      <c r="F47" s="659" t="s">
        <v>896</v>
      </c>
      <c r="G47" s="660">
        <v>4000</v>
      </c>
      <c r="H47" s="661">
        <f t="shared" si="1"/>
        <v>1640</v>
      </c>
    </row>
    <row r="48" spans="1:8" ht="51.75">
      <c r="A48" s="1085">
        <v>13</v>
      </c>
      <c r="B48" s="1085" t="s">
        <v>898</v>
      </c>
      <c r="C48" s="1085" t="s">
        <v>899</v>
      </c>
      <c r="D48" s="1085">
        <v>1</v>
      </c>
      <c r="E48" s="1085">
        <v>1</v>
      </c>
      <c r="F48" s="662" t="s">
        <v>900</v>
      </c>
      <c r="G48" s="1079">
        <v>1500</v>
      </c>
      <c r="H48" s="1078">
        <f t="shared" si="1"/>
        <v>615</v>
      </c>
    </row>
    <row r="49" spans="1:8" ht="52.5" thickBot="1">
      <c r="A49" s="1086"/>
      <c r="B49" s="1086"/>
      <c r="C49" s="1086"/>
      <c r="D49" s="1086"/>
      <c r="E49" s="1086"/>
      <c r="F49" s="659" t="s">
        <v>901</v>
      </c>
      <c r="G49" s="1080"/>
      <c r="H49" s="1078"/>
    </row>
    <row r="50" spans="1:8" ht="52.5" thickBot="1">
      <c r="A50" s="657">
        <v>14</v>
      </c>
      <c r="B50" s="658" t="s">
        <v>902</v>
      </c>
      <c r="C50" s="658" t="s">
        <v>887</v>
      </c>
      <c r="D50" s="658">
        <v>2</v>
      </c>
      <c r="E50" s="658">
        <v>1</v>
      </c>
      <c r="F50" s="659" t="s">
        <v>896</v>
      </c>
      <c r="G50" s="660">
        <v>4000</v>
      </c>
      <c r="H50" s="661">
        <f>G50*410/1000</f>
        <v>1640</v>
      </c>
    </row>
    <row r="51" spans="1:8" ht="105.75" customHeight="1" thickBot="1">
      <c r="A51" s="657">
        <v>15</v>
      </c>
      <c r="B51" s="658" t="s">
        <v>903</v>
      </c>
      <c r="C51" s="658" t="s">
        <v>887</v>
      </c>
      <c r="D51" s="658">
        <v>2</v>
      </c>
      <c r="E51" s="658">
        <v>2</v>
      </c>
      <c r="F51" s="659" t="s">
        <v>896</v>
      </c>
      <c r="G51" s="660">
        <v>8000</v>
      </c>
      <c r="H51" s="661">
        <f>G51*410/1000</f>
        <v>3280</v>
      </c>
    </row>
    <row r="52" spans="1:8" ht="104.25" thickBot="1">
      <c r="A52" s="657">
        <v>16</v>
      </c>
      <c r="B52" s="658" t="s">
        <v>904</v>
      </c>
      <c r="C52" s="658" t="s">
        <v>905</v>
      </c>
      <c r="D52" s="658">
        <v>1</v>
      </c>
      <c r="E52" s="658">
        <v>2</v>
      </c>
      <c r="F52" s="659" t="s">
        <v>896</v>
      </c>
      <c r="G52" s="660">
        <v>4000</v>
      </c>
      <c r="H52" s="661">
        <f>G52*410/1000</f>
        <v>1640</v>
      </c>
    </row>
    <row r="53" spans="1:8" ht="69.75" thickBot="1">
      <c r="A53" s="657">
        <v>18</v>
      </c>
      <c r="B53" s="658" t="s">
        <v>909</v>
      </c>
      <c r="C53" s="658" t="s">
        <v>887</v>
      </c>
      <c r="D53" s="658">
        <v>1</v>
      </c>
      <c r="E53" s="658">
        <v>2</v>
      </c>
      <c r="F53" s="659" t="s">
        <v>886</v>
      </c>
      <c r="G53" s="660">
        <v>5000</v>
      </c>
      <c r="H53" s="661">
        <f>G53*410/1000</f>
        <v>2050</v>
      </c>
    </row>
    <row r="54" spans="1:8" ht="17.25">
      <c r="A54" s="1099" t="s">
        <v>910</v>
      </c>
      <c r="B54" s="1100"/>
      <c r="C54" s="1087"/>
      <c r="D54" s="1087"/>
      <c r="E54" s="1087"/>
      <c r="F54" s="1087"/>
      <c r="G54" s="664">
        <v>123000</v>
      </c>
      <c r="H54" s="661">
        <f>SUM(H36:H53)</f>
        <v>50430</v>
      </c>
    </row>
    <row r="55" spans="1:8" ht="18" thickBot="1">
      <c r="A55" s="1101"/>
      <c r="B55" s="1102"/>
      <c r="C55" s="1088"/>
      <c r="D55" s="1088"/>
      <c r="E55" s="1088"/>
      <c r="F55" s="1088"/>
      <c r="G55" s="666" t="s">
        <v>908</v>
      </c>
      <c r="H55" s="667" t="s">
        <v>921</v>
      </c>
    </row>
    <row r="56" spans="1:7" ht="17.25">
      <c r="A56" s="668"/>
      <c r="B56" s="668"/>
      <c r="C56" s="668"/>
      <c r="D56" s="668"/>
      <c r="E56" s="668"/>
      <c r="F56" s="668"/>
      <c r="G56" s="668"/>
    </row>
    <row r="58" spans="1:7" ht="15">
      <c r="A58" s="1083" t="s">
        <v>917</v>
      </c>
      <c r="B58" s="1083"/>
      <c r="C58" s="1083"/>
      <c r="D58" s="1083"/>
      <c r="E58" s="1083"/>
      <c r="F58" s="1083"/>
      <c r="G58" s="1083"/>
    </row>
    <row r="59" spans="1:7" ht="15">
      <c r="A59" s="1083"/>
      <c r="B59" s="1083"/>
      <c r="C59" s="1083"/>
      <c r="D59" s="1083"/>
      <c r="E59" s="1083"/>
      <c r="F59" s="1083"/>
      <c r="G59" s="1083"/>
    </row>
    <row r="60" spans="1:7" ht="28.5" customHeight="1" thickBot="1">
      <c r="A60" s="1084"/>
      <c r="B60" s="1084"/>
      <c r="C60" s="1084"/>
      <c r="D60" s="1084"/>
      <c r="E60" s="1084"/>
      <c r="F60" s="1084"/>
      <c r="G60" s="1084"/>
    </row>
    <row r="61" spans="1:8" ht="17.25">
      <c r="A61" s="1096" t="s">
        <v>875</v>
      </c>
      <c r="B61" s="1096" t="s">
        <v>876</v>
      </c>
      <c r="C61" s="649" t="s">
        <v>877</v>
      </c>
      <c r="D61" s="649" t="s">
        <v>879</v>
      </c>
      <c r="E61" s="649" t="s">
        <v>881</v>
      </c>
      <c r="F61" s="1096" t="s">
        <v>884</v>
      </c>
      <c r="G61" s="649" t="s">
        <v>885</v>
      </c>
      <c r="H61" s="1093" t="s">
        <v>918</v>
      </c>
    </row>
    <row r="62" spans="1:8" ht="17.25">
      <c r="A62" s="1097"/>
      <c r="B62" s="1097"/>
      <c r="C62" s="652" t="s">
        <v>878</v>
      </c>
      <c r="D62" s="652" t="s">
        <v>880</v>
      </c>
      <c r="E62" s="652" t="s">
        <v>882</v>
      </c>
      <c r="F62" s="1097"/>
      <c r="G62" s="652" t="s">
        <v>919</v>
      </c>
      <c r="H62" s="1094"/>
    </row>
    <row r="63" spans="1:8" ht="18" thickBot="1">
      <c r="A63" s="1098"/>
      <c r="B63" s="1098"/>
      <c r="C63" s="654"/>
      <c r="D63" s="654"/>
      <c r="E63" s="655" t="s">
        <v>883</v>
      </c>
      <c r="F63" s="1098"/>
      <c r="G63" s="654"/>
      <c r="H63" s="1095"/>
    </row>
    <row r="64" spans="1:8" ht="67.5" customHeight="1">
      <c r="A64" s="1085">
        <v>1</v>
      </c>
      <c r="B64" s="1085" t="s">
        <v>795</v>
      </c>
      <c r="C64" s="1085" t="s">
        <v>1120</v>
      </c>
      <c r="D64" s="1085">
        <v>2</v>
      </c>
      <c r="E64" s="1085">
        <v>3</v>
      </c>
      <c r="F64" s="1091" t="s">
        <v>886</v>
      </c>
      <c r="G64" s="1079">
        <v>15000</v>
      </c>
      <c r="H64" s="1078">
        <f>G64*410/1000</f>
        <v>6150</v>
      </c>
    </row>
    <row r="65" spans="1:8" ht="23.25" customHeight="1" thickBot="1">
      <c r="A65" s="1086"/>
      <c r="B65" s="1086"/>
      <c r="C65" s="1086"/>
      <c r="D65" s="1086"/>
      <c r="E65" s="1086"/>
      <c r="F65" s="1092"/>
      <c r="G65" s="1080"/>
      <c r="H65" s="1078"/>
    </row>
    <row r="66" spans="1:8" ht="150.75" customHeight="1" thickBot="1">
      <c r="A66" s="657">
        <v>2</v>
      </c>
      <c r="B66" s="658" t="s">
        <v>913</v>
      </c>
      <c r="C66" s="658" t="s">
        <v>887</v>
      </c>
      <c r="D66" s="658">
        <v>1</v>
      </c>
      <c r="E66" s="658">
        <v>3</v>
      </c>
      <c r="F66" s="659" t="s">
        <v>888</v>
      </c>
      <c r="G66" s="660">
        <v>9000</v>
      </c>
      <c r="H66" s="661">
        <f>G66*410/1000</f>
        <v>3690</v>
      </c>
    </row>
    <row r="67" spans="1:8" ht="69.75" thickBot="1">
      <c r="A67" s="657">
        <v>3</v>
      </c>
      <c r="B67" s="658" t="s">
        <v>914</v>
      </c>
      <c r="C67" s="658" t="s">
        <v>887</v>
      </c>
      <c r="D67" s="658">
        <v>1</v>
      </c>
      <c r="E67" s="658">
        <v>3</v>
      </c>
      <c r="F67" s="659" t="s">
        <v>886</v>
      </c>
      <c r="G67" s="660">
        <v>7500</v>
      </c>
      <c r="H67" s="661">
        <f>G67*410/1000</f>
        <v>3075</v>
      </c>
    </row>
    <row r="68" spans="1:8" ht="52.5" thickBot="1">
      <c r="A68" s="657">
        <v>4</v>
      </c>
      <c r="B68" s="658" t="s">
        <v>870</v>
      </c>
      <c r="C68" s="658" t="s">
        <v>887</v>
      </c>
      <c r="D68" s="658">
        <v>1</v>
      </c>
      <c r="E68" s="658">
        <v>3</v>
      </c>
      <c r="F68" s="659" t="s">
        <v>886</v>
      </c>
      <c r="G68" s="660">
        <v>7500</v>
      </c>
      <c r="H68" s="661">
        <f>G68*410/1000</f>
        <v>3075</v>
      </c>
    </row>
    <row r="69" spans="1:13" ht="120.75" customHeight="1">
      <c r="A69" s="1085">
        <v>5</v>
      </c>
      <c r="B69" s="1085" t="s">
        <v>871</v>
      </c>
      <c r="C69" s="1085" t="s">
        <v>889</v>
      </c>
      <c r="D69" s="1085">
        <v>1</v>
      </c>
      <c r="E69" s="1085">
        <v>2</v>
      </c>
      <c r="F69" s="662" t="s">
        <v>890</v>
      </c>
      <c r="G69" s="1081">
        <v>26000</v>
      </c>
      <c r="H69" s="1078">
        <f>G69*410/1000</f>
        <v>10660</v>
      </c>
      <c r="M69" s="669"/>
    </row>
    <row r="70" spans="1:8" ht="35.25" thickBot="1">
      <c r="A70" s="1086"/>
      <c r="B70" s="1086"/>
      <c r="C70" s="1086"/>
      <c r="D70" s="1086"/>
      <c r="E70" s="1086"/>
      <c r="F70" s="659" t="s">
        <v>891</v>
      </c>
      <c r="G70" s="1082"/>
      <c r="H70" s="1078"/>
    </row>
    <row r="71" spans="1:8" ht="39.75" customHeight="1">
      <c r="A71" s="1085">
        <v>6</v>
      </c>
      <c r="B71" s="1085" t="s">
        <v>872</v>
      </c>
      <c r="C71" s="1085" t="s">
        <v>889</v>
      </c>
      <c r="D71" s="1085">
        <v>1</v>
      </c>
      <c r="E71" s="1085">
        <v>2</v>
      </c>
      <c r="F71" s="662" t="s">
        <v>892</v>
      </c>
      <c r="G71" s="1081">
        <v>36000</v>
      </c>
      <c r="H71" s="1078">
        <f>G71*410/1000</f>
        <v>14760</v>
      </c>
    </row>
    <row r="72" spans="1:8" ht="35.25" thickBot="1">
      <c r="A72" s="1086"/>
      <c r="B72" s="1086"/>
      <c r="C72" s="1086"/>
      <c r="D72" s="1086"/>
      <c r="E72" s="1086"/>
      <c r="F72" s="659" t="s">
        <v>891</v>
      </c>
      <c r="G72" s="1082"/>
      <c r="H72" s="1078"/>
    </row>
    <row r="73" spans="1:8" ht="52.5" thickBot="1">
      <c r="A73" s="657">
        <v>7</v>
      </c>
      <c r="B73" s="658" t="s">
        <v>873</v>
      </c>
      <c r="C73" s="658" t="s">
        <v>887</v>
      </c>
      <c r="D73" s="658">
        <v>1</v>
      </c>
      <c r="E73" s="658">
        <v>1</v>
      </c>
      <c r="F73" s="659" t="s">
        <v>886</v>
      </c>
      <c r="G73" s="660">
        <v>2500</v>
      </c>
      <c r="H73" s="661">
        <f aca="true" t="shared" si="2" ref="H73:H78">G73*410/1000</f>
        <v>1025</v>
      </c>
    </row>
    <row r="74" spans="1:8" ht="52.5" thickBot="1">
      <c r="A74" s="657">
        <v>8</v>
      </c>
      <c r="B74" s="658" t="s">
        <v>893</v>
      </c>
      <c r="C74" s="658" t="s">
        <v>887</v>
      </c>
      <c r="D74" s="658">
        <v>1</v>
      </c>
      <c r="E74" s="658">
        <v>2</v>
      </c>
      <c r="F74" s="659" t="s">
        <v>886</v>
      </c>
      <c r="G74" s="660">
        <v>5000</v>
      </c>
      <c r="H74" s="661">
        <f t="shared" si="2"/>
        <v>2050</v>
      </c>
    </row>
    <row r="75" spans="1:8" ht="52.5" thickBot="1">
      <c r="A75" s="657">
        <v>9</v>
      </c>
      <c r="B75" s="658" t="s">
        <v>894</v>
      </c>
      <c r="C75" s="658" t="s">
        <v>887</v>
      </c>
      <c r="D75" s="658">
        <v>1</v>
      </c>
      <c r="E75" s="658">
        <v>1</v>
      </c>
      <c r="F75" s="659" t="s">
        <v>886</v>
      </c>
      <c r="G75" s="660">
        <v>2500</v>
      </c>
      <c r="H75" s="661">
        <f t="shared" si="2"/>
        <v>1025</v>
      </c>
    </row>
    <row r="76" spans="1:8" ht="52.5" thickBot="1">
      <c r="A76" s="657">
        <v>10</v>
      </c>
      <c r="B76" s="658" t="s">
        <v>895</v>
      </c>
      <c r="C76" s="658" t="s">
        <v>887</v>
      </c>
      <c r="D76" s="658">
        <v>1</v>
      </c>
      <c r="E76" s="658">
        <v>1</v>
      </c>
      <c r="F76" s="659" t="s">
        <v>896</v>
      </c>
      <c r="G76" s="660">
        <v>2000</v>
      </c>
      <c r="H76" s="661">
        <f t="shared" si="2"/>
        <v>820</v>
      </c>
    </row>
    <row r="77" spans="1:8" ht="52.5" thickBot="1">
      <c r="A77" s="657">
        <v>11</v>
      </c>
      <c r="B77" s="658" t="s">
        <v>897</v>
      </c>
      <c r="C77" s="658" t="s">
        <v>887</v>
      </c>
      <c r="D77" s="658">
        <v>1</v>
      </c>
      <c r="E77" s="658">
        <v>2</v>
      </c>
      <c r="F77" s="659" t="s">
        <v>896</v>
      </c>
      <c r="G77" s="660">
        <v>4000</v>
      </c>
      <c r="H77" s="661">
        <f t="shared" si="2"/>
        <v>1640</v>
      </c>
    </row>
    <row r="78" spans="1:8" ht="51.75">
      <c r="A78" s="1085">
        <v>12</v>
      </c>
      <c r="B78" s="1085" t="s">
        <v>898</v>
      </c>
      <c r="C78" s="1085" t="s">
        <v>899</v>
      </c>
      <c r="D78" s="1085">
        <v>1</v>
      </c>
      <c r="E78" s="1085">
        <v>1</v>
      </c>
      <c r="F78" s="662" t="s">
        <v>900</v>
      </c>
      <c r="G78" s="1079">
        <v>1500</v>
      </c>
      <c r="H78" s="1078">
        <f t="shared" si="2"/>
        <v>615</v>
      </c>
    </row>
    <row r="79" spans="1:8" ht="52.5" thickBot="1">
      <c r="A79" s="1086"/>
      <c r="B79" s="1086"/>
      <c r="C79" s="1086"/>
      <c r="D79" s="1086"/>
      <c r="E79" s="1086"/>
      <c r="F79" s="659" t="s">
        <v>901</v>
      </c>
      <c r="G79" s="1080"/>
      <c r="H79" s="1078"/>
    </row>
    <row r="80" spans="1:8" ht="52.5" thickBot="1">
      <c r="A80" s="657">
        <v>13</v>
      </c>
      <c r="B80" s="658" t="s">
        <v>902</v>
      </c>
      <c r="C80" s="658" t="s">
        <v>887</v>
      </c>
      <c r="D80" s="658">
        <v>2</v>
      </c>
      <c r="E80" s="658">
        <v>1</v>
      </c>
      <c r="F80" s="659" t="s">
        <v>896</v>
      </c>
      <c r="G80" s="660">
        <v>4000</v>
      </c>
      <c r="H80" s="661">
        <f>G80*410/1000</f>
        <v>1640</v>
      </c>
    </row>
    <row r="81" spans="1:8" ht="69.75" thickBot="1">
      <c r="A81" s="657">
        <v>14</v>
      </c>
      <c r="B81" s="658" t="s">
        <v>903</v>
      </c>
      <c r="C81" s="658" t="s">
        <v>887</v>
      </c>
      <c r="D81" s="658">
        <v>2</v>
      </c>
      <c r="E81" s="658">
        <v>2</v>
      </c>
      <c r="F81" s="659" t="s">
        <v>896</v>
      </c>
      <c r="G81" s="660">
        <v>8000</v>
      </c>
      <c r="H81" s="661">
        <f>G81*410/1000</f>
        <v>3280</v>
      </c>
    </row>
    <row r="82" spans="1:8" ht="104.25" thickBot="1">
      <c r="A82" s="657">
        <v>15</v>
      </c>
      <c r="B82" s="658" t="s">
        <v>904</v>
      </c>
      <c r="C82" s="658" t="s">
        <v>905</v>
      </c>
      <c r="D82" s="658">
        <v>1</v>
      </c>
      <c r="E82" s="658">
        <v>2</v>
      </c>
      <c r="F82" s="659" t="s">
        <v>896</v>
      </c>
      <c r="G82" s="660">
        <v>4000</v>
      </c>
      <c r="H82" s="661">
        <f>G82*410/1000</f>
        <v>1640</v>
      </c>
    </row>
    <row r="83" spans="1:8" ht="52.5" thickBot="1">
      <c r="A83" s="657">
        <v>16</v>
      </c>
      <c r="B83" s="658" t="s">
        <v>915</v>
      </c>
      <c r="C83" s="658" t="s">
        <v>887</v>
      </c>
      <c r="D83" s="658">
        <v>1</v>
      </c>
      <c r="E83" s="658">
        <v>2</v>
      </c>
      <c r="F83" s="659" t="s">
        <v>886</v>
      </c>
      <c r="G83" s="670">
        <v>5000</v>
      </c>
      <c r="H83" s="671">
        <f>G83*410/1000</f>
        <v>2050</v>
      </c>
    </row>
    <row r="84" spans="1:8" ht="17.25">
      <c r="A84" s="1099" t="s">
        <v>916</v>
      </c>
      <c r="B84" s="1100"/>
      <c r="C84" s="1087"/>
      <c r="D84" s="1087"/>
      <c r="E84" s="1087"/>
      <c r="F84" s="1099"/>
      <c r="G84" s="672">
        <v>139500</v>
      </c>
      <c r="H84" s="661">
        <f>SUM(H64:H83)</f>
        <v>57195</v>
      </c>
    </row>
    <row r="85" spans="1:8" ht="18" thickBot="1">
      <c r="A85" s="1101"/>
      <c r="B85" s="1102"/>
      <c r="C85" s="1088"/>
      <c r="D85" s="1088"/>
      <c r="E85" s="1088"/>
      <c r="F85" s="1101"/>
      <c r="G85" s="261" t="s">
        <v>908</v>
      </c>
      <c r="H85" s="667" t="s">
        <v>921</v>
      </c>
    </row>
    <row r="86" spans="1:7" ht="17.25">
      <c r="A86" s="328"/>
      <c r="B86" s="646"/>
      <c r="C86" s="646"/>
      <c r="D86" s="646"/>
      <c r="E86" s="646"/>
      <c r="F86" s="646"/>
      <c r="G86" s="646"/>
    </row>
  </sheetData>
  <sheetProtection/>
  <mergeCells count="119">
    <mergeCell ref="A84:B85"/>
    <mergeCell ref="C84:C85"/>
    <mergeCell ref="D84:D85"/>
    <mergeCell ref="E84:E85"/>
    <mergeCell ref="F84:F85"/>
    <mergeCell ref="A71:A72"/>
    <mergeCell ref="B71:B72"/>
    <mergeCell ref="C71:C72"/>
    <mergeCell ref="A78:A79"/>
    <mergeCell ref="B78:B79"/>
    <mergeCell ref="C78:C79"/>
    <mergeCell ref="D78:D79"/>
    <mergeCell ref="E78:E79"/>
    <mergeCell ref="G78:G79"/>
    <mergeCell ref="A69:A70"/>
    <mergeCell ref="B69:B70"/>
    <mergeCell ref="C69:C70"/>
    <mergeCell ref="D69:D70"/>
    <mergeCell ref="E69:E70"/>
    <mergeCell ref="D71:D72"/>
    <mergeCell ref="F61:F63"/>
    <mergeCell ref="A64:A65"/>
    <mergeCell ref="B64:B65"/>
    <mergeCell ref="C64:C65"/>
    <mergeCell ref="D64:D65"/>
    <mergeCell ref="E64:E65"/>
    <mergeCell ref="A54:B55"/>
    <mergeCell ref="C54:C55"/>
    <mergeCell ref="D54:D55"/>
    <mergeCell ref="E54:E55"/>
    <mergeCell ref="E39:E40"/>
    <mergeCell ref="E71:E72"/>
    <mergeCell ref="A61:A63"/>
    <mergeCell ref="B61:B63"/>
    <mergeCell ref="A41:A42"/>
    <mergeCell ref="B41:B42"/>
    <mergeCell ref="C41:C42"/>
    <mergeCell ref="D41:D42"/>
    <mergeCell ref="E41:E42"/>
    <mergeCell ref="A39:A40"/>
    <mergeCell ref="B39:B40"/>
    <mergeCell ref="C39:C40"/>
    <mergeCell ref="D39:D40"/>
    <mergeCell ref="A33:A35"/>
    <mergeCell ref="B33:B35"/>
    <mergeCell ref="F33:F35"/>
    <mergeCell ref="A36:A37"/>
    <mergeCell ref="B36:B37"/>
    <mergeCell ref="C36:C37"/>
    <mergeCell ref="D36:D37"/>
    <mergeCell ref="E36:E37"/>
    <mergeCell ref="A27:B28"/>
    <mergeCell ref="C27:C28"/>
    <mergeCell ref="D27:D28"/>
    <mergeCell ref="E27:E28"/>
    <mergeCell ref="F27:F28"/>
    <mergeCell ref="A1:B1"/>
    <mergeCell ref="A2:G3"/>
    <mergeCell ref="A21:A22"/>
    <mergeCell ref="B21:B22"/>
    <mergeCell ref="C21:C22"/>
    <mergeCell ref="D21:D22"/>
    <mergeCell ref="E21:E22"/>
    <mergeCell ref="G21:G22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5:A7"/>
    <mergeCell ref="B5:B7"/>
    <mergeCell ref="H61:H63"/>
    <mergeCell ref="H64:H65"/>
    <mergeCell ref="F8:F9"/>
    <mergeCell ref="G12:G13"/>
    <mergeCell ref="F12:F13"/>
    <mergeCell ref="H8:H9"/>
    <mergeCell ref="H12:H13"/>
    <mergeCell ref="H14:H15"/>
    <mergeCell ref="G36:G37"/>
    <mergeCell ref="F64:F65"/>
    <mergeCell ref="H5:H7"/>
    <mergeCell ref="H33:H35"/>
    <mergeCell ref="H36:H37"/>
    <mergeCell ref="H38:H39"/>
    <mergeCell ref="F5:F7"/>
    <mergeCell ref="G8:G9"/>
    <mergeCell ref="G39:G40"/>
    <mergeCell ref="F39:F40"/>
    <mergeCell ref="H71:H72"/>
    <mergeCell ref="G71:G72"/>
    <mergeCell ref="H21:H22"/>
    <mergeCell ref="A30:G32"/>
    <mergeCell ref="A48:A49"/>
    <mergeCell ref="B48:B49"/>
    <mergeCell ref="C48:C49"/>
    <mergeCell ref="H69:H70"/>
    <mergeCell ref="G69:G70"/>
    <mergeCell ref="F36:F37"/>
    <mergeCell ref="H78:H79"/>
    <mergeCell ref="G64:G65"/>
    <mergeCell ref="H48:H49"/>
    <mergeCell ref="G41:G42"/>
    <mergeCell ref="H41:H42"/>
    <mergeCell ref="A58:G60"/>
    <mergeCell ref="D48:D49"/>
    <mergeCell ref="E48:E49"/>
    <mergeCell ref="G48:G49"/>
    <mergeCell ref="F54:F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Shishyan</dc:creator>
  <cp:keywords/>
  <dc:description/>
  <cp:lastModifiedBy>NARA</cp:lastModifiedBy>
  <cp:lastPrinted>2024-02-21T05:43:23Z</cp:lastPrinted>
  <dcterms:created xsi:type="dcterms:W3CDTF">2003-05-20T07:22:10Z</dcterms:created>
  <dcterms:modified xsi:type="dcterms:W3CDTF">2024-03-04T06:41:53Z</dcterms:modified>
  <cp:category/>
  <cp:version/>
  <cp:contentType/>
  <cp:contentStatus/>
</cp:coreProperties>
</file>